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12465" windowHeight="8250" tabRatio="862" firstSheet="32" activeTab="38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Лист1" sheetId="40" r:id="rId40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<sst xmlns="http://schemas.openxmlformats.org/spreadsheetml/2006/main" count="1215" uniqueCount="409">
  <si>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</si>
  <si>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</si>
  <si>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</si>
  <si>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</si>
  <si>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</si>
  <si>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</si>
  <si>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</si>
  <si>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</si>
  <si>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</si>
  <si>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</si>
  <si>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</si>
  <si>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</si>
  <si>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</si>
  <si>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</si>
  <si>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</si>
  <si>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</si>
  <si>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</si>
  <si>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</si>
  <si>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</si>
  <si>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</si>
  <si>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</si>
  <si>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</si>
  <si>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</si>
  <si>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</si>
  <si>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</si>
  <si>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</si>
  <si>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</si>
  <si>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</si>
  <si>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</si>
  <si>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</si>
  <si>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</si>
  <si>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</si>
  <si>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</si>
  <si>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</si>
  <si>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</si>
  <si>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</si>
  <si>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</si>
  <si>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</si>
  <si>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</si>
  <si>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</si>
  <si>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</si>
  <si>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</si>
  <si>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</si>
  <si>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</si>
  <si>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</si>
  <si>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</si>
  <si>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</si>
  <si>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</si>
  <si>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</si>
  <si>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</si>
  <si>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</si>
  <si>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</si>
  <si>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</si>
  <si>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</si>
  <si>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</si>
  <si>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</si>
  <si>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</si>
  <si>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</si>
  <si>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</si>
  <si>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</si>
  <si>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</si>
  <si>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</si>
  <si>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</si>
  <si>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</si>
  <si>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</si>
  <si>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</si>
  <si>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</si>
  <si>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</si>
  <si>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</si>
  <si>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</si>
  <si>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</si>
  <si>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</si>
  <si>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</si>
  <si>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</si>
  <si>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</si>
  <si>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</si>
  <si>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</si>
  <si>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</si>
  <si>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</si>
  <si>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</si>
  <si>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</si>
  <si>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</si>
  <si>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</si>
  <si>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</si>
  <si>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</si>
  <si>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</si>
  <si>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</si>
  <si>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</si>
  <si>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</si>
  <si>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</si>
  <si>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</si>
  <si>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</si>
  <si>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</si>
  <si>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</si>
  <si>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</si>
  <si>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</si>
  <si>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</si>
  <si>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</si>
  <si>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</si>
  <si>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</si>
  <si>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</si>
  <si>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</si>
  <si>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</si>
  <si>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</si>
  <si>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</si>
  <si>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</si>
  <si>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</si>
  <si>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</si>
  <si>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</si>
  <si>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</si>
  <si>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</si>
  <si>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</si>
  <si>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</si>
  <si>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</si>
  <si>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</si>
  <si>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</si>
  <si>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</si>
  <si>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</si>
  <si>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</si>
  <si>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</si>
  <si>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</si>
  <si>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</si>
  <si>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</si>
  <si>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</si>
  <si>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</si>
  <si>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</si>
  <si>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</si>
  <si>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</si>
  <si>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</si>
  <si>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</si>
  <si>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</si>
  <si>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</si>
  <si>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</si>
  <si>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</si>
  <si>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</si>
  <si>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</si>
  <si>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</si>
  <si>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</si>
  <si>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</si>
  <si>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</si>
  <si>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</si>
  <si>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</si>
  <si>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</si>
  <si>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</si>
  <si>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</si>
  <si>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</si>
  <si>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</si>
  <si>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</si>
  <si>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</si>
  <si>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</si>
  <si>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</si>
  <si>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</si>
  <si>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</si>
  <si>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</si>
  <si>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</si>
  <si>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</si>
  <si>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</si>
  <si>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</si>
  <si>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</si>
  <si>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</si>
  <si>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</si>
  <si>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</si>
  <si>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</si>
  <si>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</si>
  <si>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</si>
  <si>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</si>
  <si>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</si>
  <si>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</si>
  <si>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</si>
  <si>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</si>
  <si>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</si>
  <si>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</si>
  <si>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</si>
  <si>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</si>
  <si>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</si>
  <si>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</si>
  <si>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</si>
  <si>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</si>
  <si>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</si>
  <si>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</si>
  <si>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</si>
  <si>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</si>
  <si>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</si>
  <si>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</si>
  <si>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</si>
  <si>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</si>
  <si>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</si>
  <si>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</si>
  <si>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</si>
  <si>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</si>
  <si>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</si>
  <si>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</si>
  <si>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</si>
  <si>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</si>
  <si>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</si>
  <si>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</si>
  <si>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</si>
  <si>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</si>
  <si>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</si>
  <si>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</si>
  <si>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</si>
  <si>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</si>
  <si>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</si>
  <si>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</si>
  <si>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</si>
  <si>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</si>
  <si>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</si>
  <si>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</si>
  <si>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</si>
  <si>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</si>
  <si>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</si>
  <si>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</si>
  <si>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</si>
  <si>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</si>
  <si>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</si>
  <si>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</si>
  <si>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</si>
  <si>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</si>
  <si>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</si>
  <si>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</si>
  <si>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</si>
  <si>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</si>
  <si>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</si>
  <si>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</si>
  <si>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</si>
  <si>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</si>
  <si>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</si>
  <si>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</si>
  <si>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</si>
  <si>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</si>
  <si>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</si>
  <si>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</si>
  <si>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</si>
  <si>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</si>
  <si>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</si>
  <si>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</si>
  <si>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</si>
  <si>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</si>
  <si>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</si>
  <si>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</si>
  <si>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</si>
  <si>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</si>
  <si>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</si>
  <si>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</si>
  <si>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</si>
  <si>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</si>
  <si>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</si>
  <si>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</si>
  <si>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</si>
  <si>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</si>
  <si>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</si>
  <si>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</si>
  <si>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</si>
  <si>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</si>
  <si>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</si>
  <si>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</si>
  <si>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</si>
  <si>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</si>
  <si>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</si>
  <si>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</si>
  <si>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</si>
  <si>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</si>
  <si>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</si>
  <si>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</si>
  <si>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</si>
  <si>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</si>
  <si>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</si>
  <si>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</si>
  <si>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</si>
  <si>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</si>
  <si>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</si>
  <si>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</si>
  <si>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</si>
  <si>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</si>
  <si>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</si>
  <si>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</si>
  <si>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</si>
  <si>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</si>
  <si>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</si>
  <si>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</si>
  <si>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</si>
  <si>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</si>
  <si>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</si>
  <si>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</si>
  <si>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</si>
  <si>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</si>
  <si>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</si>
  <si>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</si>
  <si>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</si>
  <si>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</si>
  <si>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</si>
  <si>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</si>
  <si>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</si>
  <si>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</si>
  <si>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</si>
  <si>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</si>
  <si>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</si>
  <si>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</si>
  <si>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</si>
  <si>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</si>
  <si>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</si>
  <si>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</si>
  <si>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</si>
  <si>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</si>
  <si>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</si>
  <si>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</si>
  <si>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</si>
  <si>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</si>
  <si>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</si>
  <si>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</si>
  <si>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</si>
  <si>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</si>
  <si>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</si>
  <si>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</si>
  <si>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</si>
  <si>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</si>
  <si>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</si>
  <si>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</si>
  <si>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</si>
  <si>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</si>
  <si>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</si>
  <si>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</si>
  <si>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</si>
  <si>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</si>
  <si>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</si>
  <si>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</si>
  <si>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</si>
  <si>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</si>
  <si>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</si>
  <si>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</si>
  <si>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</si>
  <si>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</si>
  <si>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</si>
  <si>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</si>
  <si>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</si>
  <si>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</si>
  <si>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</si>
  <si>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</si>
  <si>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</si>
  <si>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</si>
  <si>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</si>
  <si>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</si>
  <si>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</si>
  <si>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</si>
  <si>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</si>
  <si>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</si>
  <si>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</si>
  <si>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</si>
  <si>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</si>
  <si>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</si>
  <si>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</si>
  <si>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</si>
  <si>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</si>
  <si>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</si>
  <si>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</si>
  <si>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</si>
  <si>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</si>
  <si>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</si>
  <si>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</si>
  <si>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</si>
  <si>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21, 33</t>
  </si>
  <si>
    <t>30, 33</t>
  </si>
  <si>
    <t>35 р убрала за межгород и 10р на сотик</t>
  </si>
  <si>
    <t>выкуп 05.07</t>
  </si>
  <si>
    <t>bamboohause</t>
  </si>
  <si>
    <t>fox103</t>
  </si>
  <si>
    <t>sIrэna</t>
  </si>
  <si>
    <t>Nata_dug</t>
  </si>
  <si>
    <t>ANOR</t>
  </si>
  <si>
    <t>8, 13, 15, 16,20, 34</t>
  </si>
  <si>
    <t>29, 34</t>
  </si>
  <si>
    <t>убрала 114р на сверку iherb 593</t>
  </si>
  <si>
    <t>выкуп 03.11</t>
  </si>
  <si>
    <t>Оплата до 07 ноября, об оплате пишите в форму оплат из 1 поста</t>
  </si>
  <si>
    <t>Elena_igum</t>
  </si>
  <si>
    <t>Мадам Диванова</t>
  </si>
  <si>
    <t>Morrigan</t>
  </si>
  <si>
    <t>11, 35</t>
  </si>
  <si>
    <t>7, 35</t>
  </si>
  <si>
    <t>32, 34, 35</t>
  </si>
  <si>
    <t>577р перенесла на кокон 119</t>
  </si>
  <si>
    <t>выкуп 27.11</t>
  </si>
  <si>
    <t>Маалинка</t>
  </si>
  <si>
    <t>Tahira09</t>
  </si>
  <si>
    <t>anchutka2010</t>
  </si>
  <si>
    <t>Dear_Alena</t>
  </si>
  <si>
    <t>13, 35, 36</t>
  </si>
  <si>
    <t>9, 10, 36</t>
  </si>
  <si>
    <t>4, 11, 13, 14, 15, 18, 21, 24, 25, 34, 36</t>
  </si>
  <si>
    <t>15,17, 18,19, 20, 21,22,23,
24, 25, 26, 29, 30, 32, 33, 35, 36</t>
  </si>
  <si>
    <t>PandO</t>
  </si>
  <si>
    <t>Маруся 2011</t>
  </si>
  <si>
    <t>Iren117</t>
  </si>
  <si>
    <t>Инес Афинская</t>
  </si>
  <si>
    <t>ОРГ,
%</t>
  </si>
  <si>
    <t>Стоимость заказа 
(без НДС), евро</t>
  </si>
  <si>
    <t>21, 31, 37</t>
  </si>
  <si>
    <t>2, 3, 6, 8, 9, 10, 14, 15, 37</t>
  </si>
  <si>
    <t>Nata Morozova</t>
  </si>
  <si>
    <t>MaLer</t>
  </si>
  <si>
    <t>анюта520</t>
  </si>
  <si>
    <t>victoria-r</t>
  </si>
  <si>
    <t>evgenka86</t>
  </si>
  <si>
    <t>nata_sha</t>
  </si>
  <si>
    <t>17, 22, 26, 34, 38</t>
  </si>
  <si>
    <t>27, 30, 32, 34, 36,38</t>
  </si>
  <si>
    <t>35, 38</t>
  </si>
  <si>
    <t>32, 38</t>
  </si>
  <si>
    <t>учтено 20р наличными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</si>
</sst>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2" applyNumberFormat="1" applyFont="1" applyFill="1" applyBorder="1" applyAlignment="1" applyProtection="1">
      <alignment/>
      <protection/>
    </xf>
    <xf numFmtId="0" fontId="3" fillId="33" borderId="11" xfId="42" applyNumberFormat="1" applyFont="1" applyFill="1" applyBorder="1" applyAlignment="1" applyProtection="1">
      <alignment/>
      <protection/>
    </xf>
    <xf numFmtId="0" fontId="3" fillId="33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9" fillId="34" borderId="11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/>
    </xf>
    <xf numFmtId="0" fontId="4" fillId="34" borderId="10" xfId="42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wrapText="1"/>
    </xf>
    <xf numFmtId="3" fontId="5" fillId="33" borderId="13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center" wrapText="1"/>
    </xf>
    <xf numFmtId="0" fontId="3" fillId="33" borderId="14" xfId="42" applyNumberFormat="1" applyFont="1" applyFill="1" applyBorder="1" applyAlignment="1" applyProtection="1">
      <alignment/>
      <protection/>
    </xf>
    <xf numFmtId="0" fontId="0" fillId="33" borderId="15" xfId="0" applyFill="1" applyBorder="1" applyAlignment="1">
      <alignment horizontal="center" wrapText="1"/>
    </xf>
    <xf numFmtId="2" fontId="0" fillId="33" borderId="15" xfId="0" applyNumberForma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 wrapText="1"/>
    </xf>
    <xf numFmtId="0" fontId="3" fillId="33" borderId="17" xfId="42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ill="1" applyBorder="1" applyAlignment="1">
      <alignment horizontal="center" wrapText="1"/>
    </xf>
    <xf numFmtId="3" fontId="5" fillId="33" borderId="18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 wrapText="1"/>
    </xf>
    <xf numFmtId="0" fontId="3" fillId="33" borderId="20" xfId="42" applyNumberFormat="1" applyFont="1" applyFill="1" applyBorder="1" applyAlignment="1" applyProtection="1">
      <alignment/>
      <protection/>
    </xf>
    <xf numFmtId="0" fontId="0" fillId="33" borderId="21" xfId="0" applyFill="1" applyBorder="1" applyAlignment="1">
      <alignment horizontal="center" wrapText="1"/>
    </xf>
    <xf numFmtId="2" fontId="0" fillId="33" borderId="21" xfId="0" applyNumberFormat="1" applyFill="1" applyBorder="1" applyAlignment="1">
      <alignment horizontal="center" wrapText="1"/>
    </xf>
    <xf numFmtId="3" fontId="5" fillId="33" borderId="21" xfId="0" applyNumberFormat="1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3" fontId="0" fillId="33" borderId="21" xfId="0" applyNumberForma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0" fillId="35" borderId="11" xfId="0" applyNumberFormat="1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3" fontId="0" fillId="35" borderId="11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36" borderId="11" xfId="0" applyFill="1" applyBorder="1" applyAlignment="1">
      <alignment/>
    </xf>
    <xf numFmtId="0" fontId="2" fillId="33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1" xfId="0" applyNumberForma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0" borderId="11" xfId="43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3" borderId="25" xfId="0" applyNumberForma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0" fillId="39" borderId="11" xfId="0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4" fillId="33" borderId="0" xfId="42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0" fillId="41" borderId="26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4" borderId="21" xfId="0" applyNumberFormat="1" applyFont="1" applyFill="1" applyBorder="1" applyAlignment="1">
      <alignment/>
    </xf>
    <xf numFmtId="0" fontId="52" fillId="33" borderId="11" xfId="42" applyNumberFormat="1" applyFont="1" applyFill="1" applyBorder="1" applyAlignment="1" applyProtection="1">
      <alignment/>
      <protection/>
    </xf>
    <xf numFmtId="0" fontId="52" fillId="33" borderId="10" xfId="42" applyNumberFormat="1" applyFont="1" applyFill="1" applyBorder="1" applyAlignment="1" applyProtection="1">
      <alignment/>
      <protection/>
    </xf>
    <xf numFmtId="1" fontId="0" fillId="41" borderId="23" xfId="0" applyNumberFormat="1" applyFill="1" applyBorder="1" applyAlignment="1">
      <alignment horizontal="center"/>
    </xf>
    <xf numFmtId="0" fontId="44" fillId="34" borderId="11" xfId="0" applyFont="1" applyFill="1" applyBorder="1" applyAlignment="1">
      <alignment horizontal="center" wrapText="1"/>
    </xf>
    <xf numFmtId="3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3" fontId="36" fillId="0" borderId="27" xfId="0" applyNumberFormat="1" applyFont="1" applyBorder="1" applyAlignment="1">
      <alignment horizontal="center"/>
    </xf>
    <xf numFmtId="3" fontId="36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41" borderId="26" xfId="0" applyFill="1" applyBorder="1" applyAlignment="1">
      <alignment horizontal="center" wrapText="1"/>
    </xf>
    <xf numFmtId="3" fontId="52" fillId="33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21" xfId="42" applyNumberFormat="1" applyFont="1" applyFill="1" applyBorder="1" applyAlignment="1" applyProtection="1">
      <alignment/>
      <protection/>
    </xf>
    <xf numFmtId="0" fontId="3" fillId="33" borderId="13" xfId="42" applyNumberFormat="1" applyFont="1" applyFill="1" applyBorder="1" applyAlignment="1" applyProtection="1">
      <alignment/>
      <protection/>
    </xf>
    <xf numFmtId="0" fontId="3" fillId="33" borderId="23" xfId="42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2" fillId="33" borderId="23" xfId="42" applyNumberFormat="1" applyFont="1" applyFill="1" applyBorder="1" applyAlignment="1" applyProtection="1">
      <alignment/>
      <protection/>
    </xf>
    <xf numFmtId="0" fontId="36" fillId="0" borderId="2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zoomScale="80" zoomScaleNormal="80" zoomScalePageLayoutView="0" workbookViewId="0" topLeftCell="A82">
      <selection activeCell="C123" sqref="C123"/>
    </sheetView>
  </sheetViews>
  <sheetFormatPr defaultColWidth="9.140625" defaultRowHeight="15"/>
  <cols>
    <col min="1" max="1" width="24.421875" style="129" customWidth="1"/>
    <col min="2" max="2" width="12.28125" style="115" customWidth="1"/>
    <col min="3" max="3" width="30.57421875" style="115" customWidth="1"/>
  </cols>
  <sheetData>
    <row r="1" spans="1:4" ht="45">
      <c r="A1" s="118" t="s">
        <v>0</v>
      </c>
      <c r="B1" s="104" t="s">
        <v>1</v>
      </c>
      <c r="C1" s="104" t="s">
        <v>2</v>
      </c>
      <c r="D1" s="1" t="s">
        <v>3</v>
      </c>
    </row>
    <row r="2" spans="1:3" ht="15">
      <c r="A2" s="2" t="s">
        <v>4</v>
      </c>
      <c r="B2" s="105">
        <f>3!G11</f>
        <v>-0.3908478676335676</v>
      </c>
      <c r="C2" s="106">
        <v>3</v>
      </c>
    </row>
    <row r="3" spans="1:3" ht="15">
      <c r="A3" s="3" t="s">
        <v>5</v>
      </c>
      <c r="B3" s="105">
        <f>8!G5+'11'!G4+'29'!H11</f>
        <v>-1.2162754660234185</v>
      </c>
      <c r="C3" s="106" t="s">
        <v>332</v>
      </c>
    </row>
    <row r="4" spans="1:3" ht="15">
      <c r="A4" s="3" t="s">
        <v>6</v>
      </c>
      <c r="B4" s="105">
        <f>'13'!G8+'35'!H8+'36'!H6</f>
        <v>7.170309308637911</v>
      </c>
      <c r="C4" s="106" t="s">
        <v>386</v>
      </c>
    </row>
    <row r="5" spans="1:3" ht="15">
      <c r="A5" s="3" t="s">
        <v>7</v>
      </c>
      <c r="B5" s="105">
        <f>'17'!G8</f>
        <v>-11.30514996066836</v>
      </c>
      <c r="C5" s="106">
        <v>17</v>
      </c>
    </row>
    <row r="6" spans="1:3" ht="15">
      <c r="A6" s="3" t="s">
        <v>8</v>
      </c>
      <c r="B6" s="105">
        <f>1!G5+4!G7+'26'!H11</f>
        <v>-44.660408420198905</v>
      </c>
      <c r="C6" s="106" t="s">
        <v>297</v>
      </c>
    </row>
    <row r="7" spans="1:3" ht="15">
      <c r="A7" s="3" t="s">
        <v>8</v>
      </c>
      <c r="B7" s="105">
        <f>'18'!G6</f>
        <v>3.8693131972789843</v>
      </c>
      <c r="C7" s="106">
        <v>18</v>
      </c>
    </row>
    <row r="8" spans="1:3" ht="15">
      <c r="A8" s="3" t="s">
        <v>9</v>
      </c>
      <c r="B8" s="105">
        <f>'13'!G4</f>
        <v>5.423605419071691</v>
      </c>
      <c r="C8" s="106">
        <v>13</v>
      </c>
    </row>
    <row r="9" spans="1:3" ht="15">
      <c r="A9" s="119" t="s">
        <v>10</v>
      </c>
      <c r="B9" s="105">
        <f>5!G9</f>
        <v>-3.1535578757785174</v>
      </c>
      <c r="C9" s="106">
        <v>5</v>
      </c>
    </row>
    <row r="10" spans="1:3" ht="15">
      <c r="A10" s="119" t="s">
        <v>11</v>
      </c>
      <c r="B10" s="105">
        <f>5!G16+'28'!H8</f>
        <v>-3.8204042361571737</v>
      </c>
      <c r="C10" s="106" t="s">
        <v>319</v>
      </c>
    </row>
    <row r="11" spans="1:3" ht="15">
      <c r="A11" s="3" t="s">
        <v>12</v>
      </c>
      <c r="B11" s="105">
        <f>6!G11</f>
        <v>10.617885612839757</v>
      </c>
      <c r="C11" s="106">
        <v>6</v>
      </c>
    </row>
    <row r="12" spans="1:3" ht="15">
      <c r="A12" s="3" t="s">
        <v>245</v>
      </c>
      <c r="B12" s="105">
        <f>'21'!G13</f>
        <v>9.911612042027343</v>
      </c>
      <c r="C12" s="106">
        <v>21</v>
      </c>
    </row>
    <row r="13" spans="1:3" ht="15">
      <c r="A13" s="3" t="s">
        <v>384</v>
      </c>
      <c r="B13" s="105">
        <f>'36'!H10</f>
        <v>-2.0640303797467823</v>
      </c>
      <c r="C13" s="106">
        <v>36</v>
      </c>
    </row>
    <row r="14" spans="1:3" ht="15">
      <c r="A14" s="2" t="s">
        <v>13</v>
      </c>
      <c r="B14" s="105">
        <f>7!G13+'19'!G9</f>
        <v>-2.626705869966372</v>
      </c>
      <c r="C14" s="106">
        <v>7.19</v>
      </c>
    </row>
    <row r="15" spans="1:3" ht="15">
      <c r="A15" s="2" t="s">
        <v>14</v>
      </c>
      <c r="B15" s="105">
        <f>'17'!G11</f>
        <v>0.24082248854747945</v>
      </c>
      <c r="C15" s="106">
        <v>17</v>
      </c>
    </row>
    <row r="16" spans="1:3" ht="15">
      <c r="A16" s="2" t="s">
        <v>15</v>
      </c>
      <c r="B16" s="105">
        <f>'11'!G6</f>
        <v>38.343205908083746</v>
      </c>
      <c r="C16" s="106">
        <v>11</v>
      </c>
    </row>
    <row r="17" spans="1:3" ht="15">
      <c r="A17" s="3" t="s">
        <v>368</v>
      </c>
      <c r="B17" s="105">
        <f>'34'!H12</f>
        <v>-0.30371627783642907</v>
      </c>
      <c r="C17" s="106">
        <v>34</v>
      </c>
    </row>
    <row r="18" spans="1:3" ht="15">
      <c r="A18" s="2" t="s">
        <v>335</v>
      </c>
      <c r="B18" s="105">
        <f>'30'!H5+'33'!H5</f>
        <v>177.85109565360563</v>
      </c>
      <c r="C18" s="106">
        <v>30.33</v>
      </c>
    </row>
    <row r="19" spans="1:3" ht="15">
      <c r="A19" s="3" t="s">
        <v>16</v>
      </c>
      <c r="B19" s="105">
        <f>'13'!G6</f>
        <v>0.16595533082113434</v>
      </c>
      <c r="C19" s="106">
        <v>13</v>
      </c>
    </row>
    <row r="20" spans="1:3" ht="15">
      <c r="A20" s="3" t="s">
        <v>364</v>
      </c>
      <c r="B20" s="105">
        <f>'34'!H5</f>
        <v>-1.9852417815482113</v>
      </c>
      <c r="C20" s="106">
        <v>34</v>
      </c>
    </row>
    <row r="21" spans="1:3" ht="15">
      <c r="A21" s="3" t="s">
        <v>270</v>
      </c>
      <c r="B21" s="105">
        <f>'23'!G9</f>
        <v>0.1459414927041962</v>
      </c>
      <c r="C21" s="106">
        <v>23</v>
      </c>
    </row>
    <row r="22" spans="1:3" ht="15">
      <c r="A22" s="3" t="s">
        <v>17</v>
      </c>
      <c r="B22" s="105">
        <f>8!G12+'15'!G13</f>
        <v>-15.907478765332826</v>
      </c>
      <c r="C22" s="106" t="s">
        <v>18</v>
      </c>
    </row>
    <row r="23" spans="1:3" ht="15">
      <c r="A23" s="3" t="s">
        <v>19</v>
      </c>
      <c r="B23" s="105">
        <f>7!G4</f>
        <v>-0.3166942722867816</v>
      </c>
      <c r="C23" s="106">
        <v>7</v>
      </c>
    </row>
    <row r="24" spans="1:3" ht="15">
      <c r="A24" s="3" t="s">
        <v>263</v>
      </c>
      <c r="B24" s="105">
        <f>'22'!G7</f>
        <v>-0.09782963827296953</v>
      </c>
      <c r="C24" s="106">
        <v>22</v>
      </c>
    </row>
    <row r="25" spans="1:3" ht="15">
      <c r="A25" s="3" t="s">
        <v>20</v>
      </c>
      <c r="B25" s="105">
        <f>9!G7</f>
        <v>0.38813882486610396</v>
      </c>
      <c r="C25" s="106">
        <v>9</v>
      </c>
    </row>
    <row r="26" spans="1:3" ht="15">
      <c r="A26" s="3" t="s">
        <v>353</v>
      </c>
      <c r="B26" s="105">
        <f>'32'!H10+'34'!H13+'35'!H4</f>
        <v>0.3500891912344173</v>
      </c>
      <c r="C26" s="106" t="s">
        <v>379</v>
      </c>
    </row>
    <row r="27" spans="1:3" ht="15">
      <c r="A27" s="3" t="s">
        <v>385</v>
      </c>
      <c r="B27" s="105">
        <f>'36'!H11</f>
        <v>-3.1453048101266745</v>
      </c>
      <c r="C27" s="106">
        <v>36</v>
      </c>
    </row>
    <row r="28" spans="1:3" ht="15">
      <c r="A28" s="2" t="s">
        <v>314</v>
      </c>
      <c r="B28" s="105">
        <f>'28'!H7</f>
        <v>0.18716392694068418</v>
      </c>
      <c r="C28" s="106">
        <v>28</v>
      </c>
    </row>
    <row r="29" spans="1:3" ht="15">
      <c r="A29" s="3" t="s">
        <v>21</v>
      </c>
      <c r="B29" s="105">
        <f>6!G8</f>
        <v>22.06036349590954</v>
      </c>
      <c r="C29" s="106">
        <v>6</v>
      </c>
    </row>
    <row r="30" spans="1:3" ht="15">
      <c r="A30" s="3" t="s">
        <v>22</v>
      </c>
      <c r="B30" s="105">
        <f>3!G10</f>
        <v>-0.04042558316086797</v>
      </c>
      <c r="C30" s="106">
        <v>3</v>
      </c>
    </row>
    <row r="31" spans="1:3" ht="15">
      <c r="A31" s="3" t="s">
        <v>229</v>
      </c>
      <c r="B31" s="105">
        <f>'18'!G8+'21'!G9</f>
        <v>0.4271525962662963</v>
      </c>
      <c r="C31" s="106">
        <v>18.21</v>
      </c>
    </row>
    <row r="32" spans="1:3" ht="15">
      <c r="A32" s="101" t="s">
        <v>351</v>
      </c>
      <c r="B32" s="105">
        <f>'32'!H8+'38'!I8</f>
        <v>-34.21178079106812</v>
      </c>
      <c r="C32" s="106" t="s">
        <v>407</v>
      </c>
    </row>
    <row r="33" spans="1:3" ht="15">
      <c r="A33" s="2" t="s">
        <v>23</v>
      </c>
      <c r="B33" s="105">
        <f>2!G19+'13'!G11+'19'!G8</f>
        <v>-0.3973132112450344</v>
      </c>
      <c r="C33" s="106" t="s">
        <v>234</v>
      </c>
    </row>
    <row r="34" spans="1:3" ht="15">
      <c r="A34" s="2" t="s">
        <v>374</v>
      </c>
      <c r="B34" s="105">
        <f>'35'!H6</f>
        <v>-12.664738446014098</v>
      </c>
      <c r="C34" s="106">
        <v>35</v>
      </c>
    </row>
    <row r="35" spans="1:3" ht="15">
      <c r="A35" s="2" t="s">
        <v>24</v>
      </c>
      <c r="B35" s="105">
        <f>'11'!G8+'17'!G4</f>
        <v>0.10038244462731427</v>
      </c>
      <c r="C35" s="106">
        <v>11.17</v>
      </c>
    </row>
    <row r="36" spans="1:3" ht="15">
      <c r="A36" s="2" t="s">
        <v>282</v>
      </c>
      <c r="B36" s="105">
        <f>'25'!G8+'30'!H8</f>
        <v>0.24023201397488947</v>
      </c>
      <c r="C36" s="106" t="s">
        <v>340</v>
      </c>
    </row>
    <row r="37" spans="1:3" ht="15">
      <c r="A37" s="2" t="s">
        <v>25</v>
      </c>
      <c r="B37" s="105">
        <f>2!G16+4!G8+6!G9+7!G6+8!G9+9!G13+'11'!G9+'16'!G6+'19'!G4+'21'!G5</f>
        <v>-3.9268314768465302</v>
      </c>
      <c r="C37" s="106" t="s">
        <v>251</v>
      </c>
    </row>
    <row r="38" spans="1:3" ht="15">
      <c r="A38" s="102" t="s">
        <v>402</v>
      </c>
      <c r="B38" s="105">
        <f>'38'!I11</f>
        <v>-3184.4693883445802</v>
      </c>
      <c r="C38" s="106">
        <v>38</v>
      </c>
    </row>
    <row r="39" spans="1:3" ht="15">
      <c r="A39" s="2" t="s">
        <v>26</v>
      </c>
      <c r="B39" s="105">
        <f>2!G5+3!G14+5!G7+'10'!G6</f>
        <v>-0.8017449814669817</v>
      </c>
      <c r="C39" s="106" t="s">
        <v>27</v>
      </c>
    </row>
    <row r="40" spans="1:3" ht="15">
      <c r="A40" s="2" t="s">
        <v>325</v>
      </c>
      <c r="B40" s="105">
        <f>'29'!H10+'34'!H8</f>
        <v>3.5362133859649703</v>
      </c>
      <c r="C40" s="106" t="s">
        <v>370</v>
      </c>
    </row>
    <row r="41" spans="1:3" ht="15">
      <c r="A41" s="2" t="s">
        <v>28</v>
      </c>
      <c r="B41" s="107">
        <f>4!G13</f>
        <v>0.2470414155382059</v>
      </c>
      <c r="C41" s="108">
        <v>4</v>
      </c>
    </row>
    <row r="42" spans="1:3" ht="15">
      <c r="A42" s="4" t="s">
        <v>244</v>
      </c>
      <c r="B42" s="107">
        <f>'21'!G12+'25'!G5</f>
        <v>-0.09183926631419581</v>
      </c>
      <c r="C42" s="108" t="s">
        <v>285</v>
      </c>
    </row>
    <row r="43" spans="1:3" ht="15">
      <c r="A43" s="3" t="s">
        <v>29</v>
      </c>
      <c r="B43" s="105">
        <f>3!G16+4!G14</f>
        <v>-2.228126212425778</v>
      </c>
      <c r="C43" s="106" t="s">
        <v>30</v>
      </c>
    </row>
    <row r="44" spans="1:3" ht="15">
      <c r="A44" s="2" t="s">
        <v>31</v>
      </c>
      <c r="B44" s="105">
        <f>8!G4+'14'!G8+'17'!G10+'23'!G5</f>
        <v>-7.8942005933910195</v>
      </c>
      <c r="C44" s="106" t="s">
        <v>275</v>
      </c>
    </row>
    <row r="45" spans="1:3" ht="15">
      <c r="A45" s="2" t="s">
        <v>264</v>
      </c>
      <c r="B45" s="105">
        <f>'22'!G13</f>
        <v>-0.28836406067671305</v>
      </c>
      <c r="C45" s="106">
        <v>22</v>
      </c>
    </row>
    <row r="46" spans="1:3" ht="15">
      <c r="A46" s="3" t="s">
        <v>32</v>
      </c>
      <c r="B46" s="105">
        <f>7!G8+'35'!H5</f>
        <v>-9.44942585593742</v>
      </c>
      <c r="C46" s="106" t="s">
        <v>378</v>
      </c>
    </row>
    <row r="47" spans="1:3" ht="15">
      <c r="A47" s="3" t="s">
        <v>33</v>
      </c>
      <c r="B47" s="105">
        <f>1!G14</f>
        <v>-1.4510431320503585</v>
      </c>
      <c r="C47" s="106">
        <v>1</v>
      </c>
    </row>
    <row r="48" spans="1:3" ht="15">
      <c r="A48" s="3" t="s">
        <v>358</v>
      </c>
      <c r="B48" s="105">
        <f>'33'!H9</f>
        <v>28.451255278235067</v>
      </c>
      <c r="C48" s="106">
        <v>33</v>
      </c>
    </row>
    <row r="49" spans="1:3" ht="15">
      <c r="A49" s="3" t="s">
        <v>34</v>
      </c>
      <c r="B49" s="105">
        <f>4!G10</f>
        <v>-7.471079900469931</v>
      </c>
      <c r="C49" s="106">
        <v>4</v>
      </c>
    </row>
    <row r="50" spans="1:3" ht="15">
      <c r="A50" s="3" t="s">
        <v>392</v>
      </c>
      <c r="B50" s="105">
        <f>'37'!I8</f>
        <v>0.2369961089494268</v>
      </c>
      <c r="C50" s="106">
        <v>37</v>
      </c>
    </row>
    <row r="51" spans="1:3" ht="15">
      <c r="A51" s="3" t="s">
        <v>35</v>
      </c>
      <c r="B51" s="105">
        <f>3!G9+9!G5</f>
        <v>-0.0548461739075492</v>
      </c>
      <c r="C51" s="106">
        <v>3.9</v>
      </c>
    </row>
    <row r="52" spans="1:3" ht="15">
      <c r="A52" s="3" t="s">
        <v>36</v>
      </c>
      <c r="B52" s="105">
        <f>9!G11+'16'!G9+'23'!G11</f>
        <v>-1.2871810103299595</v>
      </c>
      <c r="C52" s="106" t="s">
        <v>277</v>
      </c>
    </row>
    <row r="53" spans="1:3" ht="15">
      <c r="A53" s="3" t="s">
        <v>359</v>
      </c>
      <c r="B53" s="105">
        <f>'33'!H10</f>
        <v>11.48977128086915</v>
      </c>
      <c r="C53" s="106">
        <v>33</v>
      </c>
    </row>
    <row r="54" spans="1:3" ht="30">
      <c r="A54" s="3" t="s">
        <v>37</v>
      </c>
      <c r="B54" s="105">
        <f>4!G15+6!G6+9!G6+'11'!G12+'15'!G10+'17'!G6+'19'!G7+'20'!G9+'22'!G11+'24'!G4+'29'!H7</f>
        <v>0.44288815832112505</v>
      </c>
      <c r="C54" s="109" t="s">
        <v>330</v>
      </c>
    </row>
    <row r="55" spans="1:3" ht="15">
      <c r="A55" s="3" t="s">
        <v>38</v>
      </c>
      <c r="B55" s="105">
        <f>7!G5+'21'!G22</f>
        <v>0.48102760873427997</v>
      </c>
      <c r="C55" s="106" t="s">
        <v>252</v>
      </c>
    </row>
    <row r="56" spans="1:3" ht="15">
      <c r="A56" s="3" t="s">
        <v>260</v>
      </c>
      <c r="B56" s="105">
        <f>'22'!G4</f>
        <v>0.08729054842490314</v>
      </c>
      <c r="C56" s="106">
        <v>22</v>
      </c>
    </row>
    <row r="57" spans="1:3" ht="15">
      <c r="A57" s="2" t="s">
        <v>346</v>
      </c>
      <c r="B57" s="105">
        <f>'31'!H4</f>
        <v>-0.2537325997254811</v>
      </c>
      <c r="C57" s="106">
        <v>31</v>
      </c>
    </row>
    <row r="58" spans="1:3" ht="15">
      <c r="A58" s="2" t="s">
        <v>183</v>
      </c>
      <c r="B58" s="105">
        <f>2!G17+3!G6+6!G5+8!G10+9!G4+'10'!G5+'14'!G4+'15'!G4+'37'!I6</f>
        <v>-3.0692872604478225</v>
      </c>
      <c r="C58" s="106" t="s">
        <v>397</v>
      </c>
    </row>
    <row r="59" spans="1:3" ht="15">
      <c r="A59" s="3" t="s">
        <v>40</v>
      </c>
      <c r="B59" s="105">
        <f>2!G10</f>
        <v>-0.09940185503842258</v>
      </c>
      <c r="C59" s="106">
        <v>2</v>
      </c>
    </row>
    <row r="60" spans="1:3" ht="15">
      <c r="A60" s="3" t="s">
        <v>41</v>
      </c>
      <c r="B60" s="105">
        <f>9!G10+'10'!G10</f>
        <v>-5.369123061005666</v>
      </c>
      <c r="C60" s="106" t="s">
        <v>42</v>
      </c>
    </row>
    <row r="61" spans="1:3" ht="15">
      <c r="A61" s="3" t="s">
        <v>43</v>
      </c>
      <c r="B61" s="105">
        <f>'14'!G6+'26'!H6</f>
        <v>-0.4197218404250407</v>
      </c>
      <c r="C61" s="106" t="s">
        <v>296</v>
      </c>
    </row>
    <row r="62" spans="1:3" ht="15">
      <c r="A62" s="3" t="s">
        <v>248</v>
      </c>
      <c r="B62" s="105">
        <f>'21'!G16</f>
        <v>-0.08838795797265675</v>
      </c>
      <c r="C62" s="106">
        <v>21</v>
      </c>
    </row>
    <row r="63" spans="1:3" ht="15">
      <c r="A63" s="3" t="s">
        <v>44</v>
      </c>
      <c r="B63" s="105">
        <f>2!G9</f>
        <v>-5.838481386662124</v>
      </c>
      <c r="C63" s="106">
        <v>2</v>
      </c>
    </row>
    <row r="64" spans="1:3" ht="15">
      <c r="A64" s="102" t="s">
        <v>399</v>
      </c>
      <c r="B64" s="105">
        <f>'38'!I6</f>
        <v>-23.00417145728636</v>
      </c>
      <c r="C64" s="106">
        <v>38</v>
      </c>
    </row>
    <row r="65" spans="1:3" ht="15">
      <c r="A65" s="2" t="s">
        <v>45</v>
      </c>
      <c r="B65" s="105">
        <f>'11'!G15</f>
        <v>9.139577860725467</v>
      </c>
      <c r="C65" s="106">
        <v>11</v>
      </c>
    </row>
    <row r="66" spans="1:3" ht="15">
      <c r="A66" s="3" t="s">
        <v>46</v>
      </c>
      <c r="B66" s="105">
        <f>3!G15</f>
        <v>0.3332192580570563</v>
      </c>
      <c r="C66" s="106">
        <v>3</v>
      </c>
    </row>
    <row r="67" spans="1:3" ht="15">
      <c r="A67" s="3" t="s">
        <v>47</v>
      </c>
      <c r="B67" s="107">
        <f>9!G12+'10'!G7+'36'!H12</f>
        <v>1.1520800885218705</v>
      </c>
      <c r="C67" s="108" t="s">
        <v>387</v>
      </c>
    </row>
    <row r="68" spans="1:3" ht="15">
      <c r="A68" s="120" t="s">
        <v>48</v>
      </c>
      <c r="B68" s="105">
        <f>'15'!G8</f>
        <v>60.83489964157707</v>
      </c>
      <c r="C68" s="106">
        <v>15</v>
      </c>
    </row>
    <row r="69" spans="1:3" ht="15">
      <c r="A69" s="3" t="s">
        <v>315</v>
      </c>
      <c r="B69" s="105">
        <f>'28'!H9</f>
        <v>-5.681110045662081</v>
      </c>
      <c r="C69" s="106">
        <v>28</v>
      </c>
    </row>
    <row r="70" spans="1:3" ht="15">
      <c r="A70" s="3" t="s">
        <v>49</v>
      </c>
      <c r="B70" s="105">
        <f>9!G8+'15'!G6</f>
        <v>-9.708301881683951</v>
      </c>
      <c r="C70" s="106" t="s">
        <v>50</v>
      </c>
    </row>
    <row r="71" spans="1:3" ht="15">
      <c r="A71" s="3" t="s">
        <v>51</v>
      </c>
      <c r="B71" s="105">
        <f>'10'!G9+'11'!G5+'26'!H5+'32'!H5</f>
        <v>46.084124090881346</v>
      </c>
      <c r="C71" s="106" t="s">
        <v>355</v>
      </c>
    </row>
    <row r="72" spans="1:3" ht="15">
      <c r="A72" s="3" t="s">
        <v>376</v>
      </c>
      <c r="B72" s="105">
        <f>'35'!H10</f>
        <v>-0.3128516649849189</v>
      </c>
      <c r="C72" s="106">
        <v>35</v>
      </c>
    </row>
    <row r="73" spans="1:3" ht="15">
      <c r="A73" s="3" t="s">
        <v>322</v>
      </c>
      <c r="B73" s="105">
        <f>'29'!H4</f>
        <v>-25.114848546511894</v>
      </c>
      <c r="C73" s="106">
        <v>29</v>
      </c>
    </row>
    <row r="74" spans="1:3" ht="15">
      <c r="A74" s="3" t="s">
        <v>52</v>
      </c>
      <c r="B74" s="105">
        <f>3!G7+7!G10</f>
        <v>-0.19904976752786752</v>
      </c>
      <c r="C74" s="106" t="s">
        <v>53</v>
      </c>
    </row>
    <row r="75" spans="1:3" ht="15">
      <c r="A75" s="3" t="s">
        <v>54</v>
      </c>
      <c r="B75" s="105">
        <f>2!G15</f>
        <v>-0.3014719771686032</v>
      </c>
      <c r="C75" s="106">
        <v>2</v>
      </c>
    </row>
    <row r="76" spans="1:3" ht="15">
      <c r="A76" s="2" t="s">
        <v>312</v>
      </c>
      <c r="B76" s="105">
        <f>'28'!H4</f>
        <v>-0.2983926940632955</v>
      </c>
      <c r="C76" s="106">
        <v>28</v>
      </c>
    </row>
    <row r="77" spans="1:3" ht="15">
      <c r="A77" s="102" t="s">
        <v>398</v>
      </c>
      <c r="B77" s="105">
        <f>'38'!I5</f>
        <v>-10.587023224694917</v>
      </c>
      <c r="C77" s="106">
        <v>38</v>
      </c>
    </row>
    <row r="78" spans="1:3" ht="15">
      <c r="A78" s="121" t="s">
        <v>367</v>
      </c>
      <c r="B78" s="105">
        <f>'34'!H10</f>
        <v>7.137212248144124</v>
      </c>
      <c r="C78" s="106">
        <v>34</v>
      </c>
    </row>
    <row r="79" spans="1:3" ht="15">
      <c r="A79" s="130" t="s">
        <v>403</v>
      </c>
      <c r="B79" s="110">
        <f>'38'!I12</f>
        <v>-52.43893679827738</v>
      </c>
      <c r="C79" s="108">
        <v>38</v>
      </c>
    </row>
    <row r="80" spans="1:3" ht="15">
      <c r="A80" s="120" t="s">
        <v>293</v>
      </c>
      <c r="B80" s="105">
        <f>'26'!H10</f>
        <v>-0.21139927404715309</v>
      </c>
      <c r="C80" s="106">
        <v>26</v>
      </c>
    </row>
    <row r="81" spans="1:3" ht="15">
      <c r="A81" s="3" t="s">
        <v>55</v>
      </c>
      <c r="B81" s="105">
        <f>'16'!G4+'21'!G21</f>
        <v>0.3098037669591349</v>
      </c>
      <c r="C81" s="106" t="s">
        <v>253</v>
      </c>
    </row>
    <row r="82" spans="1:3" ht="15">
      <c r="A82" s="3" t="s">
        <v>56</v>
      </c>
      <c r="B82" s="105">
        <f>2!G4</f>
        <v>-1.4048479456079122</v>
      </c>
      <c r="C82" s="106">
        <v>2</v>
      </c>
    </row>
    <row r="83" spans="1:3" ht="15">
      <c r="A83" s="2" t="s">
        <v>57</v>
      </c>
      <c r="B83" s="105">
        <f>'17'!G5</f>
        <v>-7.547122067465693</v>
      </c>
      <c r="C83" s="106">
        <v>17</v>
      </c>
    </row>
    <row r="84" spans="1:3" ht="15">
      <c r="A84" s="3" t="s">
        <v>58</v>
      </c>
      <c r="B84" s="105">
        <f>4!G12</f>
        <v>-59.7357478573403</v>
      </c>
      <c r="C84" s="106">
        <v>4</v>
      </c>
    </row>
    <row r="85" spans="1:3" ht="15">
      <c r="A85" s="124" t="s">
        <v>59</v>
      </c>
      <c r="B85" s="107">
        <f>5!G15</f>
        <v>-2.5156228031117394</v>
      </c>
      <c r="C85" s="108">
        <v>5</v>
      </c>
    </row>
    <row r="86" spans="1:3" ht="15">
      <c r="A86" s="120" t="s">
        <v>241</v>
      </c>
      <c r="B86" s="107">
        <f>'21'!G4</f>
        <v>-0.09384950732214747</v>
      </c>
      <c r="C86" s="108">
        <v>21</v>
      </c>
    </row>
    <row r="87" spans="1:3" ht="15">
      <c r="A87" s="2" t="s">
        <v>354</v>
      </c>
      <c r="B87" s="107">
        <f>'32'!H11</f>
        <v>23.620320644511366</v>
      </c>
      <c r="C87" s="108">
        <v>32</v>
      </c>
    </row>
    <row r="88" spans="1:3" ht="15">
      <c r="A88" s="120" t="s">
        <v>60</v>
      </c>
      <c r="B88" s="105">
        <f>2!G18+3!G13+5!G10</f>
        <v>7.412790948545762</v>
      </c>
      <c r="C88" s="106" t="s">
        <v>61</v>
      </c>
    </row>
    <row r="89" spans="1:3" ht="15">
      <c r="A89" s="3" t="s">
        <v>390</v>
      </c>
      <c r="B89" s="105">
        <f>'37'!I4</f>
        <v>0.46952210116728565</v>
      </c>
      <c r="C89" s="106">
        <v>37</v>
      </c>
    </row>
    <row r="90" spans="1:3" ht="15">
      <c r="A90" s="3" t="s">
        <v>62</v>
      </c>
      <c r="B90" s="105">
        <f>1!G12</f>
        <v>0.27274346383543957</v>
      </c>
      <c r="C90" s="106">
        <v>1</v>
      </c>
    </row>
    <row r="91" spans="1:3" ht="15">
      <c r="A91" s="3" t="s">
        <v>246</v>
      </c>
      <c r="B91" s="105">
        <f>'21'!G14</f>
        <v>-2.184814502694735</v>
      </c>
      <c r="C91" s="106">
        <v>21</v>
      </c>
    </row>
    <row r="92" spans="1:3" ht="15">
      <c r="A92" s="2" t="s">
        <v>63</v>
      </c>
      <c r="B92" s="105">
        <f>2!G7+2!G6</f>
        <v>0.35662030469637784</v>
      </c>
      <c r="C92" s="106">
        <v>2</v>
      </c>
    </row>
    <row r="93" spans="1:3" ht="15">
      <c r="A93" s="3" t="s">
        <v>313</v>
      </c>
      <c r="B93" s="105">
        <f>'28'!H5</f>
        <v>20.501694977168995</v>
      </c>
      <c r="C93" s="106">
        <v>28</v>
      </c>
    </row>
    <row r="94" spans="1:3" ht="15">
      <c r="A94" s="121" t="s">
        <v>64</v>
      </c>
      <c r="B94" s="107">
        <f>'12'!G4+'22'!G10+'27'!H4+'29'!H6</f>
        <v>-0.26779542793661903</v>
      </c>
      <c r="C94" s="108" t="s">
        <v>329</v>
      </c>
    </row>
    <row r="95" spans="1:3" ht="15">
      <c r="A95" s="122" t="s">
        <v>65</v>
      </c>
      <c r="B95" s="111">
        <f>4!G4+6!G7+'20'!G4</f>
        <v>-0.07829932507661397</v>
      </c>
      <c r="C95" s="112" t="s">
        <v>258</v>
      </c>
    </row>
    <row r="96" spans="1:3" ht="15">
      <c r="A96" s="122" t="s">
        <v>66</v>
      </c>
      <c r="B96" s="111">
        <f>2!G11+5!G14+'13'!G10+'21'!G11</f>
        <v>51.74657412341401</v>
      </c>
      <c r="C96" s="112" t="s">
        <v>254</v>
      </c>
    </row>
    <row r="97" spans="1:3" ht="15">
      <c r="A97" s="120" t="s">
        <v>67</v>
      </c>
      <c r="B97" s="113">
        <f>7!G9</f>
        <v>0</v>
      </c>
      <c r="C97" s="114">
        <v>7</v>
      </c>
    </row>
    <row r="98" spans="1:3" ht="15">
      <c r="A98" s="3" t="s">
        <v>68</v>
      </c>
      <c r="B98" s="105">
        <f>2!G14</f>
        <v>-0.8416797750451224</v>
      </c>
      <c r="C98" s="106">
        <v>2</v>
      </c>
    </row>
    <row r="99" spans="1:3" ht="15">
      <c r="A99" s="2" t="s">
        <v>366</v>
      </c>
      <c r="B99" s="105">
        <f>'34'!H9</f>
        <v>1.446214687168606</v>
      </c>
      <c r="C99" s="106">
        <v>34</v>
      </c>
    </row>
    <row r="100" spans="1:3" ht="15">
      <c r="A100" s="2" t="s">
        <v>69</v>
      </c>
      <c r="B100" s="105">
        <f>4!G6</f>
        <v>-2.7884943323195444</v>
      </c>
      <c r="C100" s="106">
        <v>4</v>
      </c>
    </row>
    <row r="101" spans="1:3" ht="15">
      <c r="A101" s="3" t="s">
        <v>70</v>
      </c>
      <c r="B101" s="105">
        <f>1!G13</f>
        <v>-1.196705706702005</v>
      </c>
      <c r="C101" s="106">
        <v>1</v>
      </c>
    </row>
    <row r="102" spans="1:3" ht="15">
      <c r="A102" s="3" t="s">
        <v>71</v>
      </c>
      <c r="B102" s="105">
        <f>4!G9+'29'!H8</f>
        <v>0.40143940219309115</v>
      </c>
      <c r="C102" s="106" t="s">
        <v>331</v>
      </c>
    </row>
    <row r="103" spans="1:3" ht="15">
      <c r="A103" s="3" t="s">
        <v>271</v>
      </c>
      <c r="B103" s="105">
        <f>'23'!G10</f>
        <v>-0.47483717098339184</v>
      </c>
      <c r="C103" s="106">
        <v>23</v>
      </c>
    </row>
    <row r="104" spans="1:3" ht="15">
      <c r="A104" s="125" t="s">
        <v>72</v>
      </c>
      <c r="B104" s="105">
        <f>6!G15</f>
        <v>-0.12165940071486148</v>
      </c>
      <c r="C104" s="106">
        <v>6</v>
      </c>
    </row>
    <row r="105" spans="1:3" ht="15">
      <c r="A105" s="3" t="s">
        <v>383</v>
      </c>
      <c r="B105" s="105">
        <f>'36'!H8</f>
        <v>0.9372182278480636</v>
      </c>
      <c r="C105" s="106">
        <v>36</v>
      </c>
    </row>
    <row r="106" spans="1:3" ht="15">
      <c r="A106" s="101" t="s">
        <v>73</v>
      </c>
      <c r="B106" s="105">
        <f>'17'!G9+'22'!G9+'26'!H13+'34'!H7+'38'!I4</f>
        <v>-5.163311193101919</v>
      </c>
      <c r="C106" s="106" t="s">
        <v>404</v>
      </c>
    </row>
    <row r="107" spans="1:3" ht="15">
      <c r="A107" s="3" t="s">
        <v>74</v>
      </c>
      <c r="B107" s="105">
        <f>7!G12</f>
        <v>-0.12088048171517585</v>
      </c>
      <c r="C107" s="106">
        <v>7</v>
      </c>
    </row>
    <row r="108" spans="1:3" ht="15">
      <c r="A108" s="3" t="s">
        <v>267</v>
      </c>
      <c r="B108" s="105">
        <f>'23'!G4</f>
        <v>0.19389100048874752</v>
      </c>
      <c r="C108" s="106">
        <v>23</v>
      </c>
    </row>
    <row r="109" spans="1:3" ht="15">
      <c r="A109" s="2" t="s">
        <v>352</v>
      </c>
      <c r="B109" s="105">
        <f>'32'!H9</f>
        <v>115.68553776435033</v>
      </c>
      <c r="C109" s="106">
        <v>32</v>
      </c>
    </row>
    <row r="110" spans="1:3" ht="15">
      <c r="A110" s="2" t="s">
        <v>75</v>
      </c>
      <c r="B110" s="105">
        <f>9!G9</f>
        <v>0.21090809933446053</v>
      </c>
      <c r="C110" s="106">
        <v>9</v>
      </c>
    </row>
    <row r="111" spans="1:4" ht="15">
      <c r="A111" s="119" t="s">
        <v>76</v>
      </c>
      <c r="B111" s="105">
        <f>2!G13+5!G12+'14'!G10</f>
        <v>0.968549522910223</v>
      </c>
      <c r="C111" s="106" t="s">
        <v>77</v>
      </c>
      <c r="D111" s="5"/>
    </row>
    <row r="112" spans="1:5" ht="15">
      <c r="A112" s="119" t="s">
        <v>78</v>
      </c>
      <c r="B112" s="105">
        <f>5!G5+7!G7</f>
        <v>37.6921463994143</v>
      </c>
      <c r="C112" s="106" t="s">
        <v>79</v>
      </c>
      <c r="D112" s="5"/>
      <c r="E112" s="5"/>
    </row>
    <row r="113" spans="1:4" ht="15">
      <c r="A113" s="119" t="s">
        <v>80</v>
      </c>
      <c r="B113" s="105">
        <f>5!G13+6!G4+9!G14</f>
        <v>0.08036619398546918</v>
      </c>
      <c r="C113" s="106" t="s">
        <v>81</v>
      </c>
      <c r="D113" s="5"/>
    </row>
    <row r="114" spans="1:3" ht="15">
      <c r="A114" s="125" t="s">
        <v>82</v>
      </c>
      <c r="B114" s="105">
        <f>2!G21</f>
        <v>0.23092364124727283</v>
      </c>
      <c r="C114" s="106">
        <v>2</v>
      </c>
    </row>
    <row r="115" spans="1:3" ht="15">
      <c r="A115" s="3" t="s">
        <v>83</v>
      </c>
      <c r="B115" s="105">
        <f>'14'!G7</f>
        <v>0.08484684883762839</v>
      </c>
      <c r="C115" s="106">
        <v>14</v>
      </c>
    </row>
    <row r="116" spans="1:3" ht="15">
      <c r="A116" s="2" t="s">
        <v>306</v>
      </c>
      <c r="B116" s="105">
        <f>'27'!H6</f>
        <v>-0.44453529411759973</v>
      </c>
      <c r="C116" s="106">
        <v>27</v>
      </c>
    </row>
    <row r="117" spans="1:3" ht="15">
      <c r="A117" s="101" t="s">
        <v>305</v>
      </c>
      <c r="B117" s="105">
        <f>'27'!H5+'30'!H4+'32'!H4+'34'!H6+'36'!H5+'38'!I10</f>
        <v>-4.731716607729652</v>
      </c>
      <c r="C117" s="106" t="s">
        <v>405</v>
      </c>
    </row>
    <row r="118" spans="1:3" ht="15">
      <c r="A118" s="3" t="s">
        <v>268</v>
      </c>
      <c r="B118" s="105">
        <f>'23'!G7</f>
        <v>0.4758795783009191</v>
      </c>
      <c r="C118" s="106">
        <v>23</v>
      </c>
    </row>
    <row r="119" spans="1:3" ht="15">
      <c r="A119" s="119" t="s">
        <v>84</v>
      </c>
      <c r="B119" s="105">
        <f>5!G4+6!G10</f>
        <v>15.90216309038658</v>
      </c>
      <c r="C119" s="106" t="s">
        <v>85</v>
      </c>
    </row>
    <row r="120" spans="1:4" ht="15">
      <c r="A120" s="2" t="s">
        <v>86</v>
      </c>
      <c r="B120" s="105">
        <f>6!G12+'21'!G17+'24'!G6+'28'!H6</f>
        <v>-0.3356485921513013</v>
      </c>
      <c r="C120" s="106" t="s">
        <v>318</v>
      </c>
      <c r="D120" s="5"/>
    </row>
    <row r="121" spans="1:3" ht="30">
      <c r="A121" s="2" t="s">
        <v>87</v>
      </c>
      <c r="B121" s="105">
        <f>4!G5+'11'!G7+'13'!G7+'14'!G5+'15'!G9+'18'!G4+'21'!G18+'24'!G7+'25'!G7+'34'!H11+'36'!H9</f>
        <v>42.337465366802235</v>
      </c>
      <c r="C121" s="109" t="s">
        <v>388</v>
      </c>
    </row>
    <row r="122" spans="1:3" ht="15">
      <c r="A122" s="2" t="s">
        <v>88</v>
      </c>
      <c r="B122" s="105">
        <f>1!G9</f>
        <v>22.948251824817817</v>
      </c>
      <c r="C122" s="106">
        <v>1</v>
      </c>
    </row>
    <row r="123" spans="1:3" ht="15">
      <c r="A123" s="123" t="s">
        <v>89</v>
      </c>
      <c r="B123" s="105">
        <f>6!G16</f>
        <v>6.42671405609002</v>
      </c>
      <c r="C123" s="106">
        <v>6</v>
      </c>
    </row>
    <row r="124" spans="1:3" ht="15">
      <c r="A124" s="2" t="s">
        <v>90</v>
      </c>
      <c r="B124" s="105">
        <f>1!G10+2!G12</f>
        <v>0.03975583348773171</v>
      </c>
      <c r="C124" s="106" t="s">
        <v>91</v>
      </c>
    </row>
    <row r="125" spans="1:3" ht="15">
      <c r="A125" s="2" t="s">
        <v>242</v>
      </c>
      <c r="B125" s="105">
        <f>'21'!G6+'22'!G8</f>
        <v>-0.26673695616113946</v>
      </c>
      <c r="C125" s="106">
        <v>21.22</v>
      </c>
    </row>
    <row r="126" spans="1:3" ht="15">
      <c r="A126" s="2" t="s">
        <v>92</v>
      </c>
      <c r="B126" s="105">
        <f>'10'!G12+'21'!G8</f>
        <v>0.35901770659256727</v>
      </c>
      <c r="C126" s="106" t="s">
        <v>255</v>
      </c>
    </row>
    <row r="127" spans="1:3" ht="15">
      <c r="A127" s="3" t="s">
        <v>279</v>
      </c>
      <c r="B127" s="107">
        <f>'24'!G9</f>
        <v>-0.08371745232363992</v>
      </c>
      <c r="C127" s="108">
        <v>24</v>
      </c>
    </row>
    <row r="128" spans="1:5" ht="15">
      <c r="A128" s="126" t="s">
        <v>93</v>
      </c>
      <c r="B128" s="107">
        <f>2!G20+'14'!G9+'26'!H12</f>
        <v>-0.39051707989847273</v>
      </c>
      <c r="C128" s="108" t="s">
        <v>298</v>
      </c>
      <c r="D128" s="5"/>
      <c r="E128" s="5"/>
    </row>
    <row r="129" spans="1:3" ht="15">
      <c r="A129" s="122" t="s">
        <v>339</v>
      </c>
      <c r="B129" s="111">
        <f>'30'!H12+'33'!H8</f>
        <v>77.1277822018028</v>
      </c>
      <c r="C129" s="112" t="s">
        <v>361</v>
      </c>
    </row>
    <row r="130" spans="1:3" ht="15">
      <c r="A130" s="122" t="s">
        <v>94</v>
      </c>
      <c r="B130" s="111">
        <f>3!G12</f>
        <v>-5.179951598292746</v>
      </c>
      <c r="C130" s="112">
        <v>3</v>
      </c>
    </row>
    <row r="131" spans="1:3" ht="15">
      <c r="A131" s="130" t="s">
        <v>400</v>
      </c>
      <c r="B131" s="111">
        <f>'38'!I9</f>
        <v>-221.13373031730225</v>
      </c>
      <c r="C131" s="112">
        <v>38</v>
      </c>
    </row>
    <row r="132" spans="1:3" ht="15">
      <c r="A132" s="122" t="s">
        <v>294</v>
      </c>
      <c r="B132" s="111">
        <f>'26'!H14</f>
        <v>0.2121658802177535</v>
      </c>
      <c r="C132" s="112">
        <v>26</v>
      </c>
    </row>
    <row r="133" spans="1:3" ht="30">
      <c r="A133" s="2" t="s">
        <v>96</v>
      </c>
      <c r="B133" s="111">
        <f>'15'!G14+'17'!G7+'18'!G9+'19'!G6+'20'!G5+'21'!G23+'22'!G12+'23'!G6+'24'!G5+'25'!G6+'26'!H9+'29'!H12+'30'!H7+'32'!H12+'33'!H7+'35'!H11+'36'!H4</f>
        <v>16.20120402978489</v>
      </c>
      <c r="C133" s="131" t="s">
        <v>389</v>
      </c>
    </row>
    <row r="134" spans="1:3" ht="15">
      <c r="A134" s="127" t="s">
        <v>95</v>
      </c>
      <c r="B134" s="111">
        <f>6!G17+'11'!G13+'30'!H9</f>
        <v>5.2977981908479705</v>
      </c>
      <c r="C134" s="112" t="s">
        <v>341</v>
      </c>
    </row>
    <row r="135" spans="1:3" ht="15">
      <c r="A135" s="127" t="s">
        <v>97</v>
      </c>
      <c r="B135" s="111">
        <f>'11'!G14</f>
        <v>-0.4728000349934973</v>
      </c>
      <c r="C135" s="112">
        <v>11</v>
      </c>
    </row>
    <row r="136" spans="1:3" ht="15">
      <c r="A136" s="122" t="s">
        <v>98</v>
      </c>
      <c r="B136" s="111">
        <f>8!G11+'13'!G5+'15'!G11+'16'!G11+'20'!G6+'34'!H4</f>
        <v>4.53392711026612</v>
      </c>
      <c r="C136" s="112" t="s">
        <v>369</v>
      </c>
    </row>
    <row r="137" spans="1:3" ht="15">
      <c r="A137" s="122" t="s">
        <v>307</v>
      </c>
      <c r="B137" s="111">
        <f>'27'!H7</f>
        <v>24.198892941176382</v>
      </c>
      <c r="C137" s="112">
        <v>27</v>
      </c>
    </row>
    <row r="138" spans="1:3" ht="15">
      <c r="A138" s="122" t="s">
        <v>357</v>
      </c>
      <c r="B138" s="111">
        <f>'33'!H4</f>
        <v>21.560595653605446</v>
      </c>
      <c r="C138" s="112">
        <v>33</v>
      </c>
    </row>
    <row r="139" spans="1:3" ht="15">
      <c r="A139" s="2" t="s">
        <v>99</v>
      </c>
      <c r="B139" s="111">
        <f>6!G14+'13'!G9</f>
        <v>14.709954999871798</v>
      </c>
      <c r="C139" s="112" t="s">
        <v>100</v>
      </c>
    </row>
    <row r="140" spans="1:3" ht="15">
      <c r="A140" s="2" t="s">
        <v>262</v>
      </c>
      <c r="B140" s="111">
        <f>'22'!G5</f>
        <v>-0.30396266044340337</v>
      </c>
      <c r="C140" s="112">
        <v>22</v>
      </c>
    </row>
    <row r="141" spans="1:3" ht="15">
      <c r="A141" s="122" t="s">
        <v>101</v>
      </c>
      <c r="B141" s="111">
        <f>'10'!G8</f>
        <v>0.4220300552740355</v>
      </c>
      <c r="C141" s="112">
        <v>10</v>
      </c>
    </row>
    <row r="142" spans="1:3" ht="15">
      <c r="A142" s="124" t="s">
        <v>102</v>
      </c>
      <c r="B142" s="111">
        <f>5!G6</f>
        <v>-16.088677559596817</v>
      </c>
      <c r="C142" s="112">
        <v>5</v>
      </c>
    </row>
    <row r="143" spans="1:3" ht="15">
      <c r="A143" s="2" t="s">
        <v>103</v>
      </c>
      <c r="B143" s="111">
        <f>4!G11</f>
        <v>-9.34265877799271</v>
      </c>
      <c r="C143" s="112">
        <v>4</v>
      </c>
    </row>
    <row r="144" spans="1:3" ht="15">
      <c r="A144" s="122" t="s">
        <v>104</v>
      </c>
      <c r="B144" s="111">
        <f>1!G11+2!G8</f>
        <v>0.07281248755657543</v>
      </c>
      <c r="C144" s="112" t="s">
        <v>91</v>
      </c>
    </row>
    <row r="145" spans="1:3" ht="15">
      <c r="A145" s="122" t="s">
        <v>393</v>
      </c>
      <c r="B145" s="111">
        <f>'37'!I9</f>
        <v>0.4958557198443714</v>
      </c>
      <c r="C145" s="112">
        <v>37</v>
      </c>
    </row>
    <row r="146" spans="1:3" ht="15">
      <c r="A146" s="122" t="s">
        <v>249</v>
      </c>
      <c r="B146" s="111">
        <f>'21'!G20</f>
        <v>-0.4290546028634026</v>
      </c>
      <c r="C146" s="112">
        <v>21</v>
      </c>
    </row>
    <row r="147" spans="1:3" ht="15">
      <c r="A147" s="3" t="s">
        <v>106</v>
      </c>
      <c r="B147" s="111">
        <f>3!G8+5!G11</f>
        <v>-0.46359981531111316</v>
      </c>
      <c r="C147" s="112" t="s">
        <v>107</v>
      </c>
    </row>
    <row r="148" spans="1:3" ht="15">
      <c r="A148" s="122" t="s">
        <v>105</v>
      </c>
      <c r="B148" s="111">
        <f>'12'!G5</f>
        <v>4.430910221687327</v>
      </c>
      <c r="C148" s="112">
        <v>12</v>
      </c>
    </row>
    <row r="149" spans="1:3" ht="15">
      <c r="A149" s="2" t="s">
        <v>192</v>
      </c>
      <c r="B149" s="111">
        <f>'11'!G11+'21'!G19</f>
        <v>-0.2174660351042803</v>
      </c>
      <c r="C149" s="112" t="s">
        <v>256</v>
      </c>
    </row>
    <row r="150" spans="1:3" ht="15">
      <c r="A150" s="2" t="s">
        <v>237</v>
      </c>
      <c r="B150" s="111">
        <f>'20'!G7+'22'!G6</f>
        <v>0.12927664147215978</v>
      </c>
      <c r="C150" s="112">
        <v>20.22</v>
      </c>
    </row>
    <row r="151" spans="1:3" ht="15">
      <c r="A151" s="2" t="s">
        <v>350</v>
      </c>
      <c r="B151" s="111">
        <f>'32'!H7</f>
        <v>-0.18287935548823953</v>
      </c>
      <c r="C151" s="112">
        <v>32</v>
      </c>
    </row>
    <row r="152" spans="1:3" ht="15">
      <c r="A152" s="122" t="s">
        <v>109</v>
      </c>
      <c r="B152" s="111">
        <f>'16'!G8</f>
        <v>-1.2527695838737145</v>
      </c>
      <c r="C152" s="112">
        <v>16</v>
      </c>
    </row>
    <row r="153" spans="1:3" ht="15">
      <c r="A153" s="122" t="s">
        <v>108</v>
      </c>
      <c r="B153" s="111">
        <f>'16'!G7</f>
        <v>-0.36599836343657444</v>
      </c>
      <c r="C153" s="112">
        <v>16</v>
      </c>
    </row>
    <row r="154" spans="1:3" ht="15">
      <c r="A154" s="128" t="s">
        <v>110</v>
      </c>
      <c r="B154" s="111">
        <f>3!G5</f>
        <v>-0.41078015550954206</v>
      </c>
      <c r="C154" s="112">
        <v>3</v>
      </c>
    </row>
    <row r="155" spans="1:3" ht="15">
      <c r="A155" s="2" t="s">
        <v>276</v>
      </c>
      <c r="B155" s="111">
        <f>'23'!G8</f>
        <v>0.19027550094233447</v>
      </c>
      <c r="C155" s="112">
        <v>23</v>
      </c>
    </row>
    <row r="156" spans="1:3" ht="15">
      <c r="A156" s="122" t="s">
        <v>233</v>
      </c>
      <c r="B156" s="111">
        <f>'19'!G5</f>
        <v>-0.3005315389320913</v>
      </c>
      <c r="C156" s="112">
        <v>19</v>
      </c>
    </row>
    <row r="157" spans="1:3" ht="15">
      <c r="A157" s="122" t="s">
        <v>292</v>
      </c>
      <c r="B157" s="111">
        <f>'26'!H8</f>
        <v>0.030851905626150256</v>
      </c>
      <c r="C157" s="112">
        <v>26</v>
      </c>
    </row>
    <row r="158" spans="1:3" ht="15">
      <c r="A158" s="122" t="s">
        <v>111</v>
      </c>
      <c r="B158" s="111">
        <f>6!G13+8!G6+8!G7+8!G8</f>
        <v>-13.577905904424483</v>
      </c>
      <c r="C158" s="112" t="s">
        <v>112</v>
      </c>
    </row>
    <row r="159" spans="1:3" ht="15">
      <c r="A159" s="2" t="s">
        <v>114</v>
      </c>
      <c r="B159" s="111">
        <f>'15'!G12</f>
        <v>0.41744982078853354</v>
      </c>
      <c r="C159" s="112">
        <v>15</v>
      </c>
    </row>
    <row r="160" spans="1:3" ht="15">
      <c r="A160" s="122" t="s">
        <v>113</v>
      </c>
      <c r="B160" s="111">
        <f>1!G4</f>
        <v>-1.4915308891836503</v>
      </c>
      <c r="C160" s="112">
        <v>1</v>
      </c>
    </row>
    <row r="161" spans="1:3" ht="15">
      <c r="A161" s="122" t="s">
        <v>382</v>
      </c>
      <c r="B161" s="111">
        <f>'36'!H7</f>
        <v>5.887706329113826</v>
      </c>
      <c r="C161" s="112">
        <v>36</v>
      </c>
    </row>
    <row r="162" spans="1:3" ht="15">
      <c r="A162" s="102" t="s">
        <v>375</v>
      </c>
      <c r="B162" s="111">
        <f>'35'!H9+'38'!I7</f>
        <v>-47.56041704120753</v>
      </c>
      <c r="C162" s="112" t="s">
        <v>406</v>
      </c>
    </row>
    <row r="163" spans="1:3" ht="15">
      <c r="A163" s="2" t="s">
        <v>281</v>
      </c>
      <c r="B163" s="111">
        <f>'25'!G4</f>
        <v>0</v>
      </c>
      <c r="C163" s="112">
        <v>25</v>
      </c>
    </row>
    <row r="164" spans="1:3" ht="15">
      <c r="A164" s="2" t="s">
        <v>247</v>
      </c>
      <c r="B164" s="111">
        <f>'21'!G15+'33'!H6</f>
        <v>14.758863137571552</v>
      </c>
      <c r="C164" s="112" t="s">
        <v>360</v>
      </c>
    </row>
    <row r="165" spans="1:3" ht="15">
      <c r="A165" s="2" t="s">
        <v>328</v>
      </c>
      <c r="B165" s="111">
        <f>'29'!H9</f>
        <v>-0.4398875000006228</v>
      </c>
      <c r="C165" s="112">
        <v>29</v>
      </c>
    </row>
    <row r="166" spans="1:3" ht="15">
      <c r="A166" s="2" t="s">
        <v>349</v>
      </c>
      <c r="B166" s="111">
        <f>'32'!H6</f>
        <v>25.913745015105746</v>
      </c>
      <c r="C166" s="112">
        <v>32</v>
      </c>
    </row>
    <row r="167" spans="1:3" ht="15">
      <c r="A167" s="123" t="s">
        <v>115</v>
      </c>
      <c r="B167" s="111">
        <f>4!G16</f>
        <v>-3.3146076859276263</v>
      </c>
      <c r="C167" s="112">
        <v>4</v>
      </c>
    </row>
    <row r="168" spans="1:3" ht="15">
      <c r="A168" s="2" t="s">
        <v>391</v>
      </c>
      <c r="B168" s="111">
        <f>'37'!I7</f>
        <v>-3.3463317898832656</v>
      </c>
      <c r="C168" s="112">
        <v>37</v>
      </c>
    </row>
    <row r="169" spans="1:3" ht="15">
      <c r="A169" s="2" t="s">
        <v>338</v>
      </c>
      <c r="B169" s="111">
        <f>'30'!H11</f>
        <v>-0.4026562499998363</v>
      </c>
      <c r="C169" s="112">
        <v>30</v>
      </c>
    </row>
    <row r="170" spans="1:3" ht="15">
      <c r="A170" s="2" t="s">
        <v>336</v>
      </c>
      <c r="B170" s="111">
        <f>'30'!H6</f>
        <v>0.21875</v>
      </c>
      <c r="C170" s="112">
        <v>30</v>
      </c>
    </row>
    <row r="171" spans="1:3" ht="15">
      <c r="A171" s="2" t="s">
        <v>116</v>
      </c>
      <c r="B171" s="111">
        <f>1!G8+3!G4+9!G15+'16'!G5+'18'!G7+'20'!G8+'21'!G10</f>
        <v>-6.45640109873807</v>
      </c>
      <c r="C171" s="112" t="s">
        <v>257</v>
      </c>
    </row>
    <row r="172" spans="1:3" ht="15">
      <c r="A172" s="2" t="s">
        <v>117</v>
      </c>
      <c r="B172" s="111">
        <f>'15'!G7</f>
        <v>-0.46820533154095756</v>
      </c>
      <c r="C172" s="112">
        <v>15</v>
      </c>
    </row>
    <row r="173" spans="1:3" ht="15">
      <c r="A173" s="2" t="s">
        <v>118</v>
      </c>
      <c r="B173" s="111">
        <f>'12'!G7</f>
        <v>3.464238338850464</v>
      </c>
      <c r="C173" s="112">
        <v>12</v>
      </c>
    </row>
    <row r="174" spans="1:3" ht="15">
      <c r="A174" s="2" t="s">
        <v>317</v>
      </c>
      <c r="B174" s="111">
        <f>'28'!H11</f>
        <v>-0.2983926940632955</v>
      </c>
      <c r="C174" s="112">
        <v>28</v>
      </c>
    </row>
    <row r="175" spans="1:3" ht="15">
      <c r="A175" s="2" t="s">
        <v>119</v>
      </c>
      <c r="B175" s="111">
        <f>'10'!G11+'15'!G5+'24'!G8</f>
        <v>-0.42824301703740275</v>
      </c>
      <c r="C175" s="112" t="s">
        <v>280</v>
      </c>
    </row>
    <row r="176" spans="1:3" ht="15">
      <c r="A176" s="2" t="s">
        <v>327</v>
      </c>
      <c r="B176" s="111">
        <f>'29'!H5</f>
        <v>-0.374291860465064</v>
      </c>
      <c r="C176" s="112">
        <v>29</v>
      </c>
    </row>
    <row r="177" spans="1:3" ht="15">
      <c r="A177" s="2" t="s">
        <v>337</v>
      </c>
      <c r="B177" s="111">
        <f>'30'!H10</f>
        <v>0.38515624999990905</v>
      </c>
      <c r="C177" s="112">
        <v>30</v>
      </c>
    </row>
    <row r="178" spans="1:3" ht="15">
      <c r="A178" s="2" t="s">
        <v>291</v>
      </c>
      <c r="B178" s="111">
        <f>'26'!H7</f>
        <v>-0.05677132486391656</v>
      </c>
      <c r="C178" s="112">
        <v>26</v>
      </c>
    </row>
    <row r="179" spans="1:3" ht="15">
      <c r="A179" s="2" t="s">
        <v>120</v>
      </c>
      <c r="B179" s="111">
        <f>'10'!G4</f>
        <v>0.039726853984348054</v>
      </c>
      <c r="C179" s="112">
        <v>10</v>
      </c>
    </row>
    <row r="180" spans="1:3" ht="15">
      <c r="A180" s="2" t="s">
        <v>230</v>
      </c>
      <c r="B180" s="111">
        <f>'18'!G5</f>
        <v>-0.011627210884284978</v>
      </c>
      <c r="C180" s="112">
        <v>18</v>
      </c>
    </row>
    <row r="181" spans="1:3" ht="15">
      <c r="A181" s="2" t="s">
        <v>347</v>
      </c>
      <c r="B181" s="111">
        <f>'31'!H6</f>
        <v>0.4662892709766311</v>
      </c>
      <c r="C181" s="112">
        <v>31</v>
      </c>
    </row>
    <row r="182" spans="1:3" ht="15">
      <c r="A182" s="2" t="s">
        <v>316</v>
      </c>
      <c r="B182" s="111">
        <f>'28'!H10</f>
        <v>16.72077762557069</v>
      </c>
      <c r="C182" s="112">
        <v>28</v>
      </c>
    </row>
    <row r="183" spans="1:3" ht="15">
      <c r="A183" s="2" t="s">
        <v>121</v>
      </c>
      <c r="B183" s="111">
        <f>'11'!G10+'35'!H7</f>
        <v>-0.017125589255556406</v>
      </c>
      <c r="C183" s="112" t="s">
        <v>377</v>
      </c>
    </row>
    <row r="184" spans="1:3" ht="15">
      <c r="A184" s="2" t="s">
        <v>122</v>
      </c>
      <c r="B184" s="111">
        <f>1!G6+5!G8+'16'!G10</f>
        <v>-6.053147569315172</v>
      </c>
      <c r="C184" s="112" t="s">
        <v>123</v>
      </c>
    </row>
    <row r="185" spans="1:3" ht="15">
      <c r="A185" s="2" t="s">
        <v>243</v>
      </c>
      <c r="B185" s="111">
        <f>'21'!G7+'31'!H5+'37'!I5</f>
        <v>-0.24948349387057078</v>
      </c>
      <c r="C185" s="112" t="s">
        <v>396</v>
      </c>
    </row>
    <row r="186" spans="1:3" ht="15">
      <c r="A186" s="2" t="s">
        <v>290</v>
      </c>
      <c r="B186" s="111">
        <f>'26'!H4</f>
        <v>0</v>
      </c>
      <c r="C186" s="112">
        <v>26</v>
      </c>
    </row>
    <row r="187" spans="1:3" ht="15">
      <c r="A187" s="2" t="s">
        <v>124</v>
      </c>
      <c r="B187" s="111">
        <f>7!G11</f>
        <v>0.3315234689382578</v>
      </c>
      <c r="C187" s="112">
        <v>7</v>
      </c>
    </row>
    <row r="188" spans="1:3" ht="15">
      <c r="A188" s="2" t="s">
        <v>125</v>
      </c>
      <c r="B188" s="111">
        <f>1!G7</f>
        <v>14.076654976775217</v>
      </c>
      <c r="C188" s="11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10" customFormat="1" ht="21.75" customHeight="1">
      <c r="A1" s="6" t="s">
        <v>126</v>
      </c>
      <c r="B1" s="7">
        <v>41737</v>
      </c>
      <c r="C1" s="7"/>
      <c r="D1" s="8" t="s">
        <v>127</v>
      </c>
      <c r="E1" s="9">
        <v>50.22</v>
      </c>
      <c r="G1" s="10" t="s">
        <v>128</v>
      </c>
    </row>
    <row r="2" s="10" customFormat="1" ht="23.25" customHeight="1">
      <c r="A2" s="11" t="s">
        <v>184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5">
        <v>53.22</v>
      </c>
      <c r="C4" s="16">
        <f aca="true" t="shared" si="0" ref="C4:C16">B4/$B$17*$C$17</f>
        <v>5.377284531731862</v>
      </c>
      <c r="D4" s="16">
        <f aca="true" t="shared" si="1" ref="D4:D15">B4+C4</f>
        <v>58.59728453173186</v>
      </c>
      <c r="E4" s="17">
        <f aca="true" t="shared" si="2" ref="E4:E15">D4*$E$1</f>
        <v>2942.755629183574</v>
      </c>
      <c r="F4" s="18">
        <v>2923</v>
      </c>
      <c r="G4" s="19">
        <f aca="true" t="shared" si="3" ref="G4:G15">F4-E4</f>
        <v>-19.755629183574</v>
      </c>
    </row>
    <row r="5" spans="1:7" s="10" customFormat="1" ht="15">
      <c r="A5" s="2" t="s">
        <v>35</v>
      </c>
      <c r="B5" s="15">
        <v>19.74</v>
      </c>
      <c r="C5" s="16">
        <f t="shared" si="0"/>
        <v>1.994505762051615</v>
      </c>
      <c r="D5" s="16">
        <f t="shared" si="1"/>
        <v>21.73450576205161</v>
      </c>
      <c r="E5" s="17">
        <f t="shared" si="2"/>
        <v>1091.506879370232</v>
      </c>
      <c r="F5" s="18">
        <f>1083+13</f>
        <v>1096</v>
      </c>
      <c r="G5" s="19">
        <f t="shared" si="3"/>
        <v>4.4931206297681</v>
      </c>
    </row>
    <row r="6" spans="1:7" s="10" customFormat="1" ht="15">
      <c r="A6" s="2" t="s">
        <v>37</v>
      </c>
      <c r="B6" s="15">
        <v>21.1</v>
      </c>
      <c r="C6" s="16">
        <f t="shared" si="0"/>
        <v>2.131918519720825</v>
      </c>
      <c r="D6" s="16">
        <f t="shared" si="1"/>
        <v>23.231918519720825</v>
      </c>
      <c r="E6" s="17">
        <f t="shared" si="2"/>
        <v>1166.7069480603798</v>
      </c>
      <c r="F6" s="18">
        <f>1158+9</f>
        <v>1167</v>
      </c>
      <c r="G6" s="19">
        <f t="shared" si="3"/>
        <v>0.29305193962022713</v>
      </c>
    </row>
    <row r="7" spans="1:8" s="10" customFormat="1" ht="15">
      <c r="A7" s="2" t="s">
        <v>20</v>
      </c>
      <c r="B7" s="15">
        <v>1.91</v>
      </c>
      <c r="C7" s="16">
        <f t="shared" si="0"/>
        <v>0.19298409349131632</v>
      </c>
      <c r="D7" s="16">
        <f t="shared" si="1"/>
        <v>2.102984093491316</v>
      </c>
      <c r="E7" s="17">
        <f t="shared" si="2"/>
        <v>105.6118611751339</v>
      </c>
      <c r="F7" s="18">
        <f>105+1</f>
        <v>106</v>
      </c>
      <c r="G7" s="19">
        <f t="shared" si="3"/>
        <v>0.38813882486610396</v>
      </c>
      <c r="H7" s="65"/>
    </row>
    <row r="8" spans="1:7" s="10" customFormat="1" ht="15">
      <c r="A8" s="2" t="s">
        <v>49</v>
      </c>
      <c r="B8" s="15">
        <v>13.4</v>
      </c>
      <c r="C8" s="16">
        <f t="shared" si="0"/>
        <v>1.3539198182113292</v>
      </c>
      <c r="D8" s="16">
        <f t="shared" si="1"/>
        <v>14.75391981821133</v>
      </c>
      <c r="E8" s="17">
        <f t="shared" si="2"/>
        <v>740.941853270573</v>
      </c>
      <c r="F8" s="18">
        <v>735</v>
      </c>
      <c r="G8" s="19">
        <f t="shared" si="3"/>
        <v>-5.941853270573006</v>
      </c>
    </row>
    <row r="9" spans="1:8" s="10" customFormat="1" ht="15">
      <c r="A9" s="2" t="s">
        <v>75</v>
      </c>
      <c r="B9" s="15">
        <v>16.96</v>
      </c>
      <c r="C9" s="16">
        <f t="shared" si="0"/>
        <v>1.7136179191689662</v>
      </c>
      <c r="D9" s="16">
        <f t="shared" si="1"/>
        <v>18.67361791916897</v>
      </c>
      <c r="E9" s="17">
        <f t="shared" si="2"/>
        <v>937.7890919006655</v>
      </c>
      <c r="F9" s="18">
        <f>1000-62</f>
        <v>938</v>
      </c>
      <c r="G9" s="19">
        <f t="shared" si="3"/>
        <v>0.21090809933446053</v>
      </c>
      <c r="H9" s="10" t="s">
        <v>185</v>
      </c>
    </row>
    <row r="10" spans="1:7" s="10" customFormat="1" ht="15">
      <c r="A10" s="2" t="s">
        <v>41</v>
      </c>
      <c r="B10" s="15">
        <v>9.54</v>
      </c>
      <c r="C10" s="16">
        <f t="shared" si="0"/>
        <v>0.9639100795325433</v>
      </c>
      <c r="D10" s="16">
        <f t="shared" si="1"/>
        <v>10.503910079532542</v>
      </c>
      <c r="E10" s="17">
        <f t="shared" si="2"/>
        <v>527.5063641941242</v>
      </c>
      <c r="F10" s="18">
        <f>523+5</f>
        <v>528</v>
      </c>
      <c r="G10" s="19">
        <f t="shared" si="3"/>
        <v>0.49363580587578326</v>
      </c>
    </row>
    <row r="11" spans="1:7" s="10" customFormat="1" ht="15">
      <c r="A11" s="2" t="s">
        <v>36</v>
      </c>
      <c r="B11" s="15">
        <v>10.84</v>
      </c>
      <c r="C11" s="16">
        <f t="shared" si="0"/>
        <v>1.0952605096575232</v>
      </c>
      <c r="D11" s="16">
        <f t="shared" si="1"/>
        <v>11.935260509657523</v>
      </c>
      <c r="E11" s="17">
        <f t="shared" si="2"/>
        <v>599.3887827950008</v>
      </c>
      <c r="F11" s="18">
        <f>595+4</f>
        <v>599</v>
      </c>
      <c r="G11" s="19">
        <f t="shared" si="3"/>
        <v>-0.38878279500079316</v>
      </c>
    </row>
    <row r="12" spans="1:7" s="10" customFormat="1" ht="15">
      <c r="A12" s="2" t="s">
        <v>47</v>
      </c>
      <c r="B12" s="15">
        <v>10.1</v>
      </c>
      <c r="C12" s="16">
        <f t="shared" si="0"/>
        <v>1.0204918032786885</v>
      </c>
      <c r="D12" s="16">
        <f t="shared" si="1"/>
        <v>11.120491803278687</v>
      </c>
      <c r="E12" s="17">
        <f t="shared" si="2"/>
        <v>558.4710983606557</v>
      </c>
      <c r="F12" s="18">
        <f>554+4</f>
        <v>558</v>
      </c>
      <c r="G12" s="19">
        <f t="shared" si="3"/>
        <v>-0.4710983606556738</v>
      </c>
    </row>
    <row r="13" spans="1:7" s="10" customFormat="1" ht="15">
      <c r="A13" s="49" t="s">
        <v>25</v>
      </c>
      <c r="B13" s="15">
        <v>14.25</v>
      </c>
      <c r="C13" s="16">
        <f t="shared" si="0"/>
        <v>1.4398027917545853</v>
      </c>
      <c r="D13" s="16">
        <f t="shared" si="1"/>
        <v>15.689802791754586</v>
      </c>
      <c r="E13" s="17">
        <f t="shared" si="2"/>
        <v>787.9418962019153</v>
      </c>
      <c r="F13" s="18">
        <f>782+6</f>
        <v>788</v>
      </c>
      <c r="G13" s="19">
        <f t="shared" si="3"/>
        <v>0.058103798084744085</v>
      </c>
    </row>
    <row r="14" spans="1:7" s="10" customFormat="1" ht="15">
      <c r="A14" s="49" t="s">
        <v>80</v>
      </c>
      <c r="B14" s="15">
        <v>21.83</v>
      </c>
      <c r="C14" s="16">
        <f t="shared" si="0"/>
        <v>2.205676838175621</v>
      </c>
      <c r="D14" s="16">
        <f t="shared" si="1"/>
        <v>24.03567683817562</v>
      </c>
      <c r="E14" s="17">
        <f t="shared" si="2"/>
        <v>1207.0716908131794</v>
      </c>
      <c r="F14" s="18">
        <f>1184+9</f>
        <v>1193</v>
      </c>
      <c r="G14" s="19">
        <f t="shared" si="3"/>
        <v>-14.07169081317943</v>
      </c>
    </row>
    <row r="15" spans="1:7" s="10" customFormat="1" ht="15">
      <c r="A15" t="s">
        <v>116</v>
      </c>
      <c r="B15" s="15">
        <v>4.86</v>
      </c>
      <c r="C15" s="16">
        <f t="shared" si="0"/>
        <v>0.4910485310826165</v>
      </c>
      <c r="D15" s="16">
        <f t="shared" si="1"/>
        <v>5.351048531082617</v>
      </c>
      <c r="E15" s="17">
        <f t="shared" si="2"/>
        <v>268.729657230969</v>
      </c>
      <c r="F15" s="18">
        <v>269</v>
      </c>
      <c r="G15" s="19">
        <f t="shared" si="3"/>
        <v>0.2703427690310036</v>
      </c>
    </row>
    <row r="16" spans="1:7" s="10" customFormat="1" ht="15">
      <c r="A16" s="49" t="s">
        <v>138</v>
      </c>
      <c r="B16" s="15">
        <v>48.69</v>
      </c>
      <c r="C16" s="16">
        <f t="shared" si="0"/>
        <v>4.919578802142509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246.44</v>
      </c>
      <c r="C17" s="24">
        <v>24.9</v>
      </c>
      <c r="D17" s="21"/>
      <c r="E17" s="22"/>
      <c r="F17" s="22"/>
      <c r="G17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186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10" customFormat="1" ht="21.75" customHeight="1">
      <c r="A1" s="6" t="s">
        <v>126</v>
      </c>
      <c r="B1" s="7">
        <v>41754</v>
      </c>
      <c r="C1" s="7"/>
      <c r="D1" s="8" t="s">
        <v>127</v>
      </c>
      <c r="E1" s="9">
        <v>50.61</v>
      </c>
      <c r="G1" s="10" t="s">
        <v>128</v>
      </c>
    </row>
    <row r="2" s="10" customFormat="1" ht="23.25" customHeight="1">
      <c r="A2" s="11" t="s">
        <v>187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120</v>
      </c>
      <c r="B4" s="15">
        <v>17.8</v>
      </c>
      <c r="C4" s="16">
        <f aca="true" t="shared" si="0" ref="C4:C13">B4/$B$14*$C$14</f>
        <v>1.701289728235836</v>
      </c>
      <c r="D4" s="16">
        <f aca="true" t="shared" si="1" ref="D4:D12">B4+C4</f>
        <v>19.501289728235836</v>
      </c>
      <c r="E4" s="17">
        <f aca="true" t="shared" si="2" ref="E4:E12">D4*$E$1</f>
        <v>986.9602731460157</v>
      </c>
      <c r="F4" s="18">
        <f>981+6</f>
        <v>987</v>
      </c>
      <c r="G4" s="19">
        <f aca="true" t="shared" si="3" ref="G4:G12">F4-E4</f>
        <v>0.039726853984348054</v>
      </c>
    </row>
    <row r="5" spans="1:7" s="10" customFormat="1" ht="15">
      <c r="A5" s="2" t="s">
        <v>39</v>
      </c>
      <c r="B5" s="15">
        <v>29.61</v>
      </c>
      <c r="C5" s="16">
        <f t="shared" si="0"/>
        <v>2.8300667894979274</v>
      </c>
      <c r="D5" s="16">
        <f t="shared" si="1"/>
        <v>32.440066789497926</v>
      </c>
      <c r="E5" s="17">
        <f t="shared" si="2"/>
        <v>1641.79178021649</v>
      </c>
      <c r="F5" s="18">
        <f>400+1255</f>
        <v>1655</v>
      </c>
      <c r="G5" s="19">
        <f t="shared" si="3"/>
        <v>13.208219783510003</v>
      </c>
    </row>
    <row r="6" spans="1:7" s="10" customFormat="1" ht="15">
      <c r="A6" s="2" t="s">
        <v>26</v>
      </c>
      <c r="B6" s="15">
        <v>26.61</v>
      </c>
      <c r="C6" s="16">
        <f t="shared" si="0"/>
        <v>2.543332565637955</v>
      </c>
      <c r="D6" s="16">
        <f t="shared" si="1"/>
        <v>29.153332565637953</v>
      </c>
      <c r="E6" s="17">
        <f t="shared" si="2"/>
        <v>1475.4501611469368</v>
      </c>
      <c r="F6" s="18">
        <f>1467+8</f>
        <v>1475</v>
      </c>
      <c r="G6" s="19">
        <f t="shared" si="3"/>
        <v>-0.4501611469368072</v>
      </c>
    </row>
    <row r="7" spans="1:8" s="10" customFormat="1" ht="15">
      <c r="A7" s="2" t="s">
        <v>47</v>
      </c>
      <c r="B7" s="15">
        <v>10.4</v>
      </c>
      <c r="C7" s="16">
        <f t="shared" si="0"/>
        <v>0.9940119760479043</v>
      </c>
      <c r="D7" s="16">
        <f t="shared" si="1"/>
        <v>11.394011976047905</v>
      </c>
      <c r="E7" s="17">
        <f t="shared" si="2"/>
        <v>576.6509461077844</v>
      </c>
      <c r="F7" s="18">
        <f>573+4</f>
        <v>577</v>
      </c>
      <c r="G7" s="19">
        <f t="shared" si="3"/>
        <v>0.34905389221557925</v>
      </c>
      <c r="H7" s="65"/>
    </row>
    <row r="8" spans="1:7" s="10" customFormat="1" ht="15">
      <c r="A8" s="2" t="s">
        <v>101</v>
      </c>
      <c r="B8" s="15">
        <v>14.15</v>
      </c>
      <c r="C8" s="16">
        <f t="shared" si="0"/>
        <v>1.3524297558728697</v>
      </c>
      <c r="D8" s="16">
        <f t="shared" si="1"/>
        <v>15.50242975587287</v>
      </c>
      <c r="E8" s="17">
        <f t="shared" si="2"/>
        <v>784.577969944726</v>
      </c>
      <c r="F8" s="18">
        <f>780+5</f>
        <v>785</v>
      </c>
      <c r="G8" s="19">
        <f t="shared" si="3"/>
        <v>0.4220300552740355</v>
      </c>
    </row>
    <row r="9" spans="1:7" s="10" customFormat="1" ht="15">
      <c r="A9" s="2" t="s">
        <v>51</v>
      </c>
      <c r="B9" s="15">
        <v>16.11</v>
      </c>
      <c r="C9" s="16">
        <f t="shared" si="0"/>
        <v>1.5397627821280515</v>
      </c>
      <c r="D9" s="16">
        <f t="shared" si="1"/>
        <v>17.64976278212805</v>
      </c>
      <c r="E9" s="17">
        <f t="shared" si="2"/>
        <v>893.2544944035006</v>
      </c>
      <c r="F9" s="18">
        <v>900</v>
      </c>
      <c r="G9" s="19">
        <f t="shared" si="3"/>
        <v>6.745505596499356</v>
      </c>
    </row>
    <row r="10" spans="1:7" s="10" customFormat="1" ht="15">
      <c r="A10" s="2" t="s">
        <v>41</v>
      </c>
      <c r="B10" s="15">
        <v>18.7</v>
      </c>
      <c r="C10" s="16">
        <f t="shared" si="0"/>
        <v>1.7873099953938276</v>
      </c>
      <c r="D10" s="16">
        <f t="shared" si="1"/>
        <v>20.487309995393826</v>
      </c>
      <c r="E10" s="17">
        <f t="shared" si="2"/>
        <v>1036.8627588668814</v>
      </c>
      <c r="F10" s="18">
        <v>1031</v>
      </c>
      <c r="G10" s="19">
        <f t="shared" si="3"/>
        <v>-5.86275886688145</v>
      </c>
    </row>
    <row r="11" spans="1:7" s="10" customFormat="1" ht="15">
      <c r="A11" s="2" t="s">
        <v>119</v>
      </c>
      <c r="B11" s="15">
        <v>23.75</v>
      </c>
      <c r="C11" s="16">
        <f t="shared" si="0"/>
        <v>2.2699792722247816</v>
      </c>
      <c r="D11" s="16">
        <f t="shared" si="1"/>
        <v>26.01997927222478</v>
      </c>
      <c r="E11" s="17">
        <f t="shared" si="2"/>
        <v>1316.8711509672962</v>
      </c>
      <c r="F11" s="18">
        <f>1309+8</f>
        <v>1317</v>
      </c>
      <c r="G11" s="19">
        <f t="shared" si="3"/>
        <v>0.12884903270378345</v>
      </c>
    </row>
    <row r="12" spans="1:7" s="10" customFormat="1" ht="15">
      <c r="A12" s="2" t="s">
        <v>92</v>
      </c>
      <c r="B12" s="15">
        <v>45.37</v>
      </c>
      <c r="C12" s="16">
        <f t="shared" si="0"/>
        <v>4.336377245508982</v>
      </c>
      <c r="D12" s="16">
        <f t="shared" si="1"/>
        <v>49.70637724550898</v>
      </c>
      <c r="E12" s="17">
        <f t="shared" si="2"/>
        <v>2515.6397523952096</v>
      </c>
      <c r="F12" s="18">
        <f>2500+16</f>
        <v>2516</v>
      </c>
      <c r="G12" s="19">
        <f t="shared" si="3"/>
        <v>0.36024760479040197</v>
      </c>
    </row>
    <row r="13" spans="1:7" s="10" customFormat="1" ht="15">
      <c r="A13" s="49" t="s">
        <v>138</v>
      </c>
      <c r="B13" s="15">
        <v>58.02</v>
      </c>
      <c r="C13" s="16">
        <f t="shared" si="0"/>
        <v>5.545439889451866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260.52</v>
      </c>
      <c r="C14" s="24">
        <v>24.9</v>
      </c>
      <c r="D14" s="21"/>
      <c r="E14" s="22"/>
      <c r="F14" s="22"/>
      <c r="G14" s="22"/>
    </row>
    <row r="16" ht="31.5">
      <c r="A16" s="55" t="s">
        <v>154</v>
      </c>
    </row>
    <row r="17" ht="31.5">
      <c r="A17" s="56" t="s">
        <v>119</v>
      </c>
    </row>
    <row r="18" ht="15">
      <c r="A18" s="49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10" customFormat="1" ht="21.75" customHeight="1">
      <c r="A1" s="6" t="s">
        <v>126</v>
      </c>
      <c r="B1" s="7">
        <v>41772</v>
      </c>
      <c r="C1" s="7"/>
      <c r="D1" s="8" t="s">
        <v>127</v>
      </c>
      <c r="E1" s="9">
        <v>48.61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</v>
      </c>
      <c r="B4" s="15">
        <v>7.66</v>
      </c>
      <c r="C4" s="16">
        <f aca="true" t="shared" si="0" ref="C4:C16">B4/$B$17*$C$17</f>
        <v>0.7795812434387028</v>
      </c>
      <c r="D4" s="16">
        <f aca="true" t="shared" si="1" ref="D4:D15">B4+C4</f>
        <v>8.439581243438703</v>
      </c>
      <c r="E4" s="17">
        <f aca="true" t="shared" si="2" ref="E4:E15">D4*$E$1</f>
        <v>410.24804424355534</v>
      </c>
      <c r="F4" s="18">
        <v>419</v>
      </c>
      <c r="G4" s="19">
        <f aca="true" t="shared" si="3" ref="G4:G15">F4-E4</f>
        <v>8.751955756444659</v>
      </c>
    </row>
    <row r="5" spans="1:7" s="10" customFormat="1" ht="15">
      <c r="A5" s="2" t="s">
        <v>51</v>
      </c>
      <c r="B5" s="15">
        <v>9.94</v>
      </c>
      <c r="C5" s="16">
        <f t="shared" si="0"/>
        <v>1.011623702321241</v>
      </c>
      <c r="D5" s="16">
        <f t="shared" si="1"/>
        <v>10.95162370232124</v>
      </c>
      <c r="E5" s="17">
        <f t="shared" si="2"/>
        <v>532.3584281698355</v>
      </c>
      <c r="F5" s="18">
        <v>550</v>
      </c>
      <c r="G5" s="19">
        <f t="shared" si="3"/>
        <v>17.64157183016448</v>
      </c>
    </row>
    <row r="6" spans="1:7" s="10" customFormat="1" ht="15">
      <c r="A6" s="2" t="s">
        <v>15</v>
      </c>
      <c r="B6" s="15">
        <v>41.65</v>
      </c>
      <c r="C6" s="16">
        <f t="shared" si="0"/>
        <v>4.238845794937594</v>
      </c>
      <c r="D6" s="16">
        <f t="shared" si="1"/>
        <v>45.888845794937595</v>
      </c>
      <c r="E6" s="17">
        <f t="shared" si="2"/>
        <v>2230.6567940919163</v>
      </c>
      <c r="F6" s="18">
        <v>2269</v>
      </c>
      <c r="G6" s="19">
        <f t="shared" si="3"/>
        <v>38.343205908083746</v>
      </c>
    </row>
    <row r="7" spans="1:8" s="10" customFormat="1" ht="15">
      <c r="A7" s="2" t="s">
        <v>190</v>
      </c>
      <c r="B7" s="15">
        <v>13.45</v>
      </c>
      <c r="C7" s="16">
        <f t="shared" si="0"/>
        <v>1.3688469613904115</v>
      </c>
      <c r="D7" s="16">
        <f t="shared" si="1"/>
        <v>14.818846961390411</v>
      </c>
      <c r="E7" s="17">
        <f t="shared" si="2"/>
        <v>720.3441507931879</v>
      </c>
      <c r="F7" s="18">
        <v>733</v>
      </c>
      <c r="G7" s="19">
        <f t="shared" si="3"/>
        <v>12.65584920681215</v>
      </c>
      <c r="H7" s="65"/>
    </row>
    <row r="8" spans="1:7" s="10" customFormat="1" ht="15">
      <c r="A8" s="2" t="s">
        <v>24</v>
      </c>
      <c r="B8" s="15">
        <v>4.97</v>
      </c>
      <c r="C8" s="16">
        <f t="shared" si="0"/>
        <v>0.5058118511606206</v>
      </c>
      <c r="D8" s="16">
        <f t="shared" si="1"/>
        <v>5.47581185116062</v>
      </c>
      <c r="E8" s="17">
        <f t="shared" si="2"/>
        <v>266.17921408491776</v>
      </c>
      <c r="F8" s="18">
        <v>271</v>
      </c>
      <c r="G8" s="19">
        <f t="shared" si="3"/>
        <v>4.82078591508224</v>
      </c>
    </row>
    <row r="9" spans="1:7" s="10" customFormat="1" ht="15">
      <c r="A9" s="2" t="s">
        <v>25</v>
      </c>
      <c r="B9" s="15">
        <f>17.7/2</f>
        <v>8.85</v>
      </c>
      <c r="C9" s="16">
        <f t="shared" si="0"/>
        <v>0.9006911232940626</v>
      </c>
      <c r="D9" s="16">
        <f t="shared" si="1"/>
        <v>9.750691123294063</v>
      </c>
      <c r="E9" s="17">
        <f t="shared" si="2"/>
        <v>473.9810955033244</v>
      </c>
      <c r="F9" s="18">
        <v>482</v>
      </c>
      <c r="G9" s="19">
        <f t="shared" si="3"/>
        <v>8.018904496675589</v>
      </c>
    </row>
    <row r="10" spans="1:8" s="10" customFormat="1" ht="15">
      <c r="A10" s="2" t="s">
        <v>121</v>
      </c>
      <c r="B10" s="15">
        <v>44.52</v>
      </c>
      <c r="C10" s="16">
        <f t="shared" si="0"/>
        <v>4.530934328706404</v>
      </c>
      <c r="D10" s="16">
        <f t="shared" si="1"/>
        <v>49.050934328706404</v>
      </c>
      <c r="E10" s="17">
        <f t="shared" si="2"/>
        <v>2384.365917718418</v>
      </c>
      <c r="F10" s="18">
        <f>2425-41</f>
        <v>2384</v>
      </c>
      <c r="G10" s="19">
        <f t="shared" si="3"/>
        <v>-0.3659177184181317</v>
      </c>
      <c r="H10" s="48" t="s">
        <v>191</v>
      </c>
    </row>
    <row r="11" spans="1:7" s="10" customFormat="1" ht="15">
      <c r="A11" s="2" t="s">
        <v>192</v>
      </c>
      <c r="B11" s="15">
        <v>48.74</v>
      </c>
      <c r="C11" s="16">
        <f t="shared" si="0"/>
        <v>4.960416423655663</v>
      </c>
      <c r="D11" s="16">
        <f t="shared" si="1"/>
        <v>53.70041642365567</v>
      </c>
      <c r="E11" s="17">
        <f t="shared" si="2"/>
        <v>2610.377242353902</v>
      </c>
      <c r="F11" s="18">
        <v>2655</v>
      </c>
      <c r="G11" s="19">
        <f t="shared" si="3"/>
        <v>44.62275764609785</v>
      </c>
    </row>
    <row r="12" spans="1:8" s="10" customFormat="1" ht="15">
      <c r="A12" s="2" t="s">
        <v>37</v>
      </c>
      <c r="B12" s="68">
        <v>9.9</v>
      </c>
      <c r="C12" s="16">
        <f t="shared" si="0"/>
        <v>1.0075527819899683</v>
      </c>
      <c r="D12" s="16">
        <f t="shared" si="1"/>
        <v>10.907552781989969</v>
      </c>
      <c r="E12" s="17">
        <f t="shared" si="2"/>
        <v>530.2161407325324</v>
      </c>
      <c r="F12" s="18">
        <v>539</v>
      </c>
      <c r="G12" s="19">
        <f t="shared" si="3"/>
        <v>8.78385926746762</v>
      </c>
      <c r="H12" s="65"/>
    </row>
    <row r="13" spans="1:7" s="10" customFormat="1" ht="15">
      <c r="A13" s="2" t="s">
        <v>95</v>
      </c>
      <c r="B13" s="15">
        <v>63.25</v>
      </c>
      <c r="C13" s="16">
        <f t="shared" si="0"/>
        <v>6.437142773824799</v>
      </c>
      <c r="D13" s="16">
        <f t="shared" si="1"/>
        <v>69.6871427738248</v>
      </c>
      <c r="E13" s="17">
        <f t="shared" si="2"/>
        <v>3387.4920102356236</v>
      </c>
      <c r="F13" s="18">
        <f>3716-270</f>
        <v>3446</v>
      </c>
      <c r="G13" s="19">
        <f t="shared" si="3"/>
        <v>58.50798976437636</v>
      </c>
    </row>
    <row r="14" spans="1:7" s="10" customFormat="1" ht="15">
      <c r="A14" s="2" t="s">
        <v>97</v>
      </c>
      <c r="B14" s="68">
        <v>11.94</v>
      </c>
      <c r="C14" s="16">
        <f t="shared" si="0"/>
        <v>1.215169718884871</v>
      </c>
      <c r="D14" s="16">
        <f t="shared" si="1"/>
        <v>13.15516971888487</v>
      </c>
      <c r="E14" s="17">
        <f t="shared" si="2"/>
        <v>639.4728000349935</v>
      </c>
      <c r="F14" s="18">
        <v>639</v>
      </c>
      <c r="G14" s="19">
        <f t="shared" si="3"/>
        <v>-0.4728000349934973</v>
      </c>
    </row>
    <row r="15" spans="1:7" s="10" customFormat="1" ht="15">
      <c r="A15" s="2" t="s">
        <v>45</v>
      </c>
      <c r="B15" s="68">
        <v>9.8</v>
      </c>
      <c r="C15" s="16">
        <f t="shared" si="0"/>
        <v>0.997375481161787</v>
      </c>
      <c r="D15" s="16">
        <f t="shared" si="1"/>
        <v>10.797375481161788</v>
      </c>
      <c r="E15" s="17">
        <f t="shared" si="2"/>
        <v>524.8604221392745</v>
      </c>
      <c r="F15" s="18">
        <v>534</v>
      </c>
      <c r="G15" s="19">
        <f t="shared" si="3"/>
        <v>9.139577860725467</v>
      </c>
    </row>
    <row r="16" spans="1:7" s="10" customFormat="1" ht="15">
      <c r="A16" s="69" t="s">
        <v>138</v>
      </c>
      <c r="B16" s="15">
        <v>68.25</v>
      </c>
      <c r="C16" s="16">
        <f t="shared" si="0"/>
        <v>6.946007815233873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342.92</v>
      </c>
      <c r="C17" s="24">
        <v>34.9</v>
      </c>
      <c r="D17" s="21"/>
      <c r="E17" s="22"/>
      <c r="F17" s="22"/>
      <c r="G17" s="22"/>
    </row>
    <row r="19" ht="31.5">
      <c r="A19" s="55" t="s">
        <v>154</v>
      </c>
    </row>
    <row r="20" spans="1:7" ht="31.5">
      <c r="A20" s="56" t="s">
        <v>51</v>
      </c>
      <c r="B20" s="56"/>
      <c r="C20" s="56"/>
      <c r="D20" s="56"/>
      <c r="E20" s="56"/>
      <c r="F20" s="56"/>
      <c r="G20" s="56"/>
    </row>
    <row r="21" ht="15">
      <c r="A21" t="s">
        <v>193</v>
      </c>
    </row>
    <row r="22" spans="1:7" ht="31.5">
      <c r="A22" s="56" t="s">
        <v>121</v>
      </c>
      <c r="B22" s="56"/>
      <c r="C22" s="56"/>
      <c r="D22" s="56"/>
      <c r="E22" s="56"/>
      <c r="F22" s="56"/>
      <c r="G22" s="56"/>
    </row>
    <row r="23" ht="15">
      <c r="A23" s="62" t="s">
        <v>194</v>
      </c>
    </row>
    <row r="24" spans="1:7" ht="31.5">
      <c r="A24" s="56" t="s">
        <v>192</v>
      </c>
      <c r="B24" s="56"/>
      <c r="C24" s="56"/>
      <c r="D24" s="56"/>
      <c r="E24" s="56"/>
      <c r="F24" s="56"/>
      <c r="G24" s="56"/>
    </row>
    <row r="25" ht="15">
      <c r="A25" s="63" t="s">
        <v>195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10" customFormat="1" ht="21.75" customHeight="1">
      <c r="A1" s="6" t="s">
        <v>126</v>
      </c>
      <c r="B1" s="7">
        <v>41784</v>
      </c>
      <c r="C1" s="7"/>
      <c r="D1" s="8" t="s">
        <v>127</v>
      </c>
      <c r="E1" s="9">
        <f>47.6</f>
        <v>47.6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3" t="s">
        <v>64</v>
      </c>
      <c r="B4" s="15">
        <v>40.83</v>
      </c>
      <c r="C4" s="16">
        <f aca="true" t="shared" si="0" ref="C4:C9">B4/$B$10*$C$10</f>
        <v>4.075218176346675</v>
      </c>
      <c r="D4" s="16">
        <f>B4+C4</f>
        <v>44.90521817634667</v>
      </c>
      <c r="E4" s="17">
        <f>D4*$E$1</f>
        <v>2137.4883851941017</v>
      </c>
      <c r="F4" s="18">
        <f>2145-8</f>
        <v>2137</v>
      </c>
      <c r="G4" s="19">
        <f>F4-E4</f>
        <v>-0.4883851941017383</v>
      </c>
      <c r="H4" s="48" t="s">
        <v>196</v>
      </c>
    </row>
    <row r="5" spans="1:7" s="10" customFormat="1" ht="15">
      <c r="A5" s="2" t="s">
        <v>105</v>
      </c>
      <c r="B5" s="15">
        <v>27.04</v>
      </c>
      <c r="C5" s="16">
        <f t="shared" si="0"/>
        <v>2.6988464239141337</v>
      </c>
      <c r="D5" s="16">
        <f>B5+C5</f>
        <v>29.738846423914133</v>
      </c>
      <c r="E5" s="17">
        <f>D5*$E$1</f>
        <v>1415.5690897783127</v>
      </c>
      <c r="F5" s="18">
        <v>1420</v>
      </c>
      <c r="G5" s="19">
        <f>F5-E5</f>
        <v>4.430910221687327</v>
      </c>
    </row>
    <row r="6" spans="1:7" s="10" customFormat="1" ht="15">
      <c r="A6" s="2" t="s">
        <v>51</v>
      </c>
      <c r="B6" s="15">
        <v>4.99</v>
      </c>
      <c r="C6" s="16">
        <f t="shared" si="0"/>
        <v>0.4980489517504263</v>
      </c>
      <c r="D6" s="16">
        <f>B6+C6</f>
        <v>5.488048951750427</v>
      </c>
      <c r="E6" s="17">
        <f>D6*$E$1</f>
        <v>261.2311301033203</v>
      </c>
      <c r="F6" s="18">
        <v>260</v>
      </c>
      <c r="G6" s="19">
        <f>F6-E6</f>
        <v>-1.2311301033203108</v>
      </c>
    </row>
    <row r="7" spans="1:7" s="10" customFormat="1" ht="15">
      <c r="A7" s="2" t="s">
        <v>118</v>
      </c>
      <c r="B7" s="15">
        <v>20.22</v>
      </c>
      <c r="C7" s="16">
        <f t="shared" si="0"/>
        <v>2.0181462533854946</v>
      </c>
      <c r="D7" s="16">
        <f>B7+C7</f>
        <v>22.238146253385494</v>
      </c>
      <c r="E7" s="17">
        <f>D7*$E$1</f>
        <v>1058.5357616611495</v>
      </c>
      <c r="F7" s="18">
        <v>1062</v>
      </c>
      <c r="G7" s="19">
        <f>F7-E7</f>
        <v>3.464238338850464</v>
      </c>
    </row>
    <row r="8" spans="1:8" s="10" customFormat="1" ht="15">
      <c r="A8" s="2" t="s">
        <v>197</v>
      </c>
      <c r="B8" s="15">
        <v>70.48</v>
      </c>
      <c r="C8" s="16">
        <f t="shared" si="0"/>
        <v>7.03456715819039</v>
      </c>
      <c r="D8" s="16">
        <f>B8+C8</f>
        <v>77.51456715819039</v>
      </c>
      <c r="E8" s="17">
        <f>D8*$E$1</f>
        <v>3689.693396729863</v>
      </c>
      <c r="F8" s="18">
        <f>3700-10</f>
        <v>3690</v>
      </c>
      <c r="G8" s="19">
        <f>F8-E8</f>
        <v>0.30660327013720234</v>
      </c>
      <c r="H8" s="48" t="s">
        <v>198</v>
      </c>
    </row>
    <row r="9" spans="1:7" s="10" customFormat="1" ht="15">
      <c r="A9" s="69" t="s">
        <v>138</v>
      </c>
      <c r="B9" s="15">
        <f>40.81-4.99</f>
        <v>35.82</v>
      </c>
      <c r="C9" s="16">
        <f t="shared" si="0"/>
        <v>3.5751730364128798</v>
      </c>
      <c r="D9" s="21"/>
      <c r="E9" s="22"/>
      <c r="F9" s="22"/>
      <c r="G9" s="22"/>
    </row>
    <row r="10" spans="1:7" s="10" customFormat="1" ht="15">
      <c r="A10" s="23"/>
      <c r="B10" s="24">
        <f>SUM(B4:B9)</f>
        <v>199.38</v>
      </c>
      <c r="C10" s="24">
        <v>19.9</v>
      </c>
      <c r="D10" s="21"/>
      <c r="E10" s="22"/>
      <c r="F10" s="22"/>
      <c r="G10" s="22"/>
    </row>
    <row r="12" ht="31.5">
      <c r="A12" s="55" t="s">
        <v>154</v>
      </c>
    </row>
    <row r="13" spans="1:7" ht="31.5">
      <c r="A13" s="56" t="s">
        <v>64</v>
      </c>
      <c r="B13" s="56"/>
      <c r="C13" s="56"/>
      <c r="D13" s="56"/>
      <c r="E13" s="56"/>
      <c r="F13" s="56"/>
      <c r="G13" s="56"/>
    </row>
    <row r="14" ht="15">
      <c r="A14" s="63" t="s">
        <v>199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10" customFormat="1" ht="21.75" customHeight="1">
      <c r="A1" s="6" t="s">
        <v>126</v>
      </c>
      <c r="B1" s="7">
        <v>41799</v>
      </c>
      <c r="C1" s="7"/>
      <c r="D1" s="8" t="s">
        <v>127</v>
      </c>
      <c r="E1" s="9">
        <v>47.48</v>
      </c>
      <c r="G1" s="10" t="s">
        <v>128</v>
      </c>
    </row>
    <row r="2" s="10" customFormat="1" ht="23.25" customHeight="1">
      <c r="A2" s="11" t="s">
        <v>200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9</v>
      </c>
      <c r="B4" s="15">
        <v>15.09</v>
      </c>
      <c r="C4" s="16">
        <f aca="true" t="shared" si="0" ref="C4:C12">B4/$B$13*$C$13</f>
        <v>1.7924008968182035</v>
      </c>
      <c r="D4" s="16">
        <f aca="true" t="shared" si="1" ref="D4:D11">B4+C4</f>
        <v>16.882400896818204</v>
      </c>
      <c r="E4" s="17">
        <f aca="true" t="shared" si="2" ref="E4:E10">D4*$E$1</f>
        <v>801.5763945809283</v>
      </c>
      <c r="F4" s="18">
        <v>807</v>
      </c>
      <c r="G4" s="19">
        <f aca="true" t="shared" si="3" ref="G4:G11">F4-E4</f>
        <v>5.423605419071691</v>
      </c>
    </row>
    <row r="5" spans="1:7" s="10" customFormat="1" ht="15">
      <c r="A5" s="2" t="s">
        <v>201</v>
      </c>
      <c r="B5" s="68">
        <v>4.99</v>
      </c>
      <c r="C5" s="16">
        <f t="shared" si="0"/>
        <v>0.5927157372513476</v>
      </c>
      <c r="D5" s="16">
        <f t="shared" si="1"/>
        <v>5.582715737251348</v>
      </c>
      <c r="E5" s="17">
        <f t="shared" si="2"/>
        <v>265.067343204694</v>
      </c>
      <c r="F5" s="18">
        <v>267</v>
      </c>
      <c r="G5" s="19">
        <f t="shared" si="3"/>
        <v>1.932656795306002</v>
      </c>
    </row>
    <row r="6" spans="1:8" s="10" customFormat="1" ht="15">
      <c r="A6" s="2" t="s">
        <v>16</v>
      </c>
      <c r="B6" s="15">
        <v>31.36</v>
      </c>
      <c r="C6" s="16">
        <f t="shared" si="0"/>
        <v>3.7249630301006533</v>
      </c>
      <c r="D6" s="16">
        <f t="shared" si="1"/>
        <v>35.08496303010065</v>
      </c>
      <c r="E6" s="17">
        <f t="shared" si="2"/>
        <v>1665.8340446691789</v>
      </c>
      <c r="F6" s="18">
        <f>1677-11</f>
        <v>1666</v>
      </c>
      <c r="G6" s="19">
        <f t="shared" si="3"/>
        <v>0.16595533082113434</v>
      </c>
      <c r="H6" s="48" t="s">
        <v>202</v>
      </c>
    </row>
    <row r="7" spans="1:8" s="10" customFormat="1" ht="15">
      <c r="A7" s="2" t="s">
        <v>87</v>
      </c>
      <c r="B7" s="15">
        <v>41.13</v>
      </c>
      <c r="C7" s="16">
        <f t="shared" si="0"/>
        <v>4.885450555741068</v>
      </c>
      <c r="D7" s="16">
        <f t="shared" si="1"/>
        <v>46.01545055574107</v>
      </c>
      <c r="E7" s="17">
        <f t="shared" si="2"/>
        <v>2184.8135923865857</v>
      </c>
      <c r="F7" s="18">
        <v>2200</v>
      </c>
      <c r="G7" s="19">
        <f t="shared" si="3"/>
        <v>15.186407613414303</v>
      </c>
      <c r="H7" s="65"/>
    </row>
    <row r="8" spans="1:7" s="10" customFormat="1" ht="15">
      <c r="A8" s="2" t="s">
        <v>6</v>
      </c>
      <c r="B8" s="15">
        <v>10.38</v>
      </c>
      <c r="C8" s="16">
        <f t="shared" si="0"/>
        <v>1.2329437580498976</v>
      </c>
      <c r="D8" s="16">
        <f t="shared" si="1"/>
        <v>11.612943758049898</v>
      </c>
      <c r="E8" s="17">
        <f t="shared" si="2"/>
        <v>551.3825696322091</v>
      </c>
      <c r="F8" s="18">
        <v>555</v>
      </c>
      <c r="G8" s="19">
        <f t="shared" si="3"/>
        <v>3.6174303677909165</v>
      </c>
    </row>
    <row r="9" spans="1:7" s="10" customFormat="1" ht="15">
      <c r="A9" s="2" t="s">
        <v>99</v>
      </c>
      <c r="B9" s="15">
        <v>38.36</v>
      </c>
      <c r="C9" s="16">
        <f t="shared" si="0"/>
        <v>4.556427992176692</v>
      </c>
      <c r="D9" s="16">
        <f t="shared" si="1"/>
        <v>42.91642799217669</v>
      </c>
      <c r="E9" s="17">
        <f t="shared" si="2"/>
        <v>2037.6720010685492</v>
      </c>
      <c r="F9" s="18">
        <v>2024</v>
      </c>
      <c r="G9" s="19">
        <f t="shared" si="3"/>
        <v>-13.672001068549207</v>
      </c>
    </row>
    <row r="10" spans="1:8" s="10" customFormat="1" ht="15">
      <c r="A10" s="2" t="s">
        <v>66</v>
      </c>
      <c r="B10" s="15">
        <v>46.8</v>
      </c>
      <c r="C10" s="16">
        <f t="shared" si="0"/>
        <v>5.558937175022658</v>
      </c>
      <c r="D10" s="16">
        <f t="shared" si="1"/>
        <v>52.35893717502265</v>
      </c>
      <c r="E10" s="17">
        <f t="shared" si="2"/>
        <v>2486.0023370700756</v>
      </c>
      <c r="F10" s="18">
        <v>2503</v>
      </c>
      <c r="G10" s="19">
        <f t="shared" si="3"/>
        <v>16.997662929924445</v>
      </c>
      <c r="H10" s="48"/>
    </row>
    <row r="11" spans="1:8" s="10" customFormat="1" ht="15">
      <c r="A11" s="2" t="s">
        <v>23</v>
      </c>
      <c r="B11" s="15">
        <v>5.95</v>
      </c>
      <c r="C11" s="16">
        <f t="shared" si="0"/>
        <v>0.706745217764633</v>
      </c>
      <c r="D11" s="16">
        <f t="shared" si="1"/>
        <v>6.656745217764633</v>
      </c>
      <c r="E11" s="17"/>
      <c r="F11" s="18">
        <f>318-320</f>
        <v>-2</v>
      </c>
      <c r="G11" s="19">
        <f t="shared" si="3"/>
        <v>-2</v>
      </c>
      <c r="H11" s="48" t="s">
        <v>203</v>
      </c>
    </row>
    <row r="12" spans="1:7" s="10" customFormat="1" ht="15">
      <c r="A12" s="69" t="s">
        <v>138</v>
      </c>
      <c r="B12" s="15">
        <v>15.57</v>
      </c>
      <c r="C12" s="16">
        <f t="shared" si="0"/>
        <v>1.849415637074846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209.63</v>
      </c>
      <c r="C13" s="24">
        <v>24.9</v>
      </c>
      <c r="D13" s="21"/>
      <c r="E13" s="22"/>
      <c r="F13" s="22"/>
      <c r="G13" s="22"/>
    </row>
    <row r="15" ht="31.5">
      <c r="A15" s="55" t="s">
        <v>154</v>
      </c>
    </row>
    <row r="16" spans="1:7" ht="31.5">
      <c r="A16" s="56" t="s">
        <v>9</v>
      </c>
      <c r="B16" s="56"/>
      <c r="C16" s="56"/>
      <c r="D16" s="56"/>
      <c r="E16" s="56"/>
      <c r="F16" s="56"/>
      <c r="G16" s="56"/>
    </row>
    <row r="17" ht="15">
      <c r="A17" s="59" t="s">
        <v>204</v>
      </c>
    </row>
    <row r="18" spans="1:7" ht="31.5">
      <c r="A18" s="56" t="s">
        <v>23</v>
      </c>
      <c r="B18" s="56"/>
      <c r="C18" s="56"/>
      <c r="D18" s="56"/>
      <c r="E18" s="56"/>
      <c r="F18" s="56"/>
      <c r="G18" s="56"/>
    </row>
    <row r="19" ht="15">
      <c r="A19" s="63" t="s">
        <v>205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41817</v>
      </c>
      <c r="C1" s="7"/>
      <c r="D1" s="8" t="s">
        <v>127</v>
      </c>
      <c r="E1" s="9">
        <v>46.71</v>
      </c>
      <c r="G1" s="10" t="s">
        <v>128</v>
      </c>
    </row>
    <row r="2" s="10" customFormat="1" ht="23.25" customHeight="1">
      <c r="A2" s="11" t="s">
        <v>206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12.35</v>
      </c>
      <c r="C4" s="16">
        <f aca="true" t="shared" si="0" ref="C4:C11">B4/$B$12*$C$12</f>
        <v>1.3068505375887125</v>
      </c>
      <c r="D4" s="16">
        <f aca="true" t="shared" si="1" ref="D4:D10">B4+C4</f>
        <v>13.656850537588712</v>
      </c>
      <c r="E4" s="17">
        <f aca="true" t="shared" si="2" ref="E4:E10">D4*$E$1</f>
        <v>637.9114886107687</v>
      </c>
      <c r="F4" s="18">
        <v>638</v>
      </c>
      <c r="G4" s="19">
        <f aca="true" t="shared" si="3" ref="G4:G10">F4-E4</f>
        <v>0.08851138923125745</v>
      </c>
    </row>
    <row r="5" spans="1:7" s="10" customFormat="1" ht="15">
      <c r="A5" s="2" t="s">
        <v>87</v>
      </c>
      <c r="B5" s="18">
        <v>38.64</v>
      </c>
      <c r="C5" s="16">
        <f t="shared" si="0"/>
        <v>4.088802005864604</v>
      </c>
      <c r="D5" s="16">
        <f t="shared" si="1"/>
        <v>42.72880200586461</v>
      </c>
      <c r="E5" s="17">
        <f t="shared" si="2"/>
        <v>1995.8623416939358</v>
      </c>
      <c r="F5" s="18">
        <v>1997</v>
      </c>
      <c r="G5" s="19">
        <f t="shared" si="3"/>
        <v>1.1376583060641678</v>
      </c>
    </row>
    <row r="6" spans="1:8" s="10" customFormat="1" ht="15">
      <c r="A6" s="2" t="s">
        <v>43</v>
      </c>
      <c r="B6" s="18">
        <v>11.65</v>
      </c>
      <c r="C6" s="16">
        <f t="shared" si="0"/>
        <v>1.23277803748247</v>
      </c>
      <c r="D6" s="16">
        <f t="shared" si="1"/>
        <v>12.88277803748247</v>
      </c>
      <c r="E6" s="17">
        <f t="shared" si="2"/>
        <v>601.7545621308062</v>
      </c>
      <c r="F6" s="18">
        <v>602</v>
      </c>
      <c r="G6" s="19">
        <f t="shared" si="3"/>
        <v>0.24543786919377908</v>
      </c>
      <c r="H6" s="48"/>
    </row>
    <row r="7" spans="1:8" s="10" customFormat="1" ht="15">
      <c r="A7" s="2" t="s">
        <v>83</v>
      </c>
      <c r="B7" s="18">
        <v>15.68</v>
      </c>
      <c r="C7" s="16">
        <f t="shared" si="0"/>
        <v>1.6592240023798395</v>
      </c>
      <c r="D7" s="16">
        <f t="shared" si="1"/>
        <v>17.33922400237984</v>
      </c>
      <c r="E7" s="17">
        <f t="shared" si="2"/>
        <v>809.9151531511624</v>
      </c>
      <c r="F7" s="18">
        <v>810</v>
      </c>
      <c r="G7" s="19">
        <f t="shared" si="3"/>
        <v>0.08484684883762839</v>
      </c>
      <c r="H7" s="65"/>
    </row>
    <row r="8" spans="1:7" s="10" customFormat="1" ht="15">
      <c r="A8" s="2" t="s">
        <v>31</v>
      </c>
      <c r="B8" s="18">
        <v>14.87</v>
      </c>
      <c r="C8" s="16">
        <f t="shared" si="0"/>
        <v>1.5735115379711868</v>
      </c>
      <c r="D8" s="16">
        <f t="shared" si="1"/>
        <v>16.443511537971187</v>
      </c>
      <c r="E8" s="17">
        <f t="shared" si="2"/>
        <v>768.0764239386341</v>
      </c>
      <c r="F8" s="18">
        <v>769</v>
      </c>
      <c r="G8" s="19">
        <f t="shared" si="3"/>
        <v>0.9235760613659068</v>
      </c>
    </row>
    <row r="9" spans="1:7" s="10" customFormat="1" ht="15">
      <c r="A9" s="2" t="s">
        <v>93</v>
      </c>
      <c r="B9" s="18">
        <v>29.08</v>
      </c>
      <c r="C9" s="16">
        <f t="shared" si="0"/>
        <v>3.077183290127916</v>
      </c>
      <c r="D9" s="16">
        <f t="shared" si="1"/>
        <v>32.15718329012792</v>
      </c>
      <c r="E9" s="17">
        <f t="shared" si="2"/>
        <v>1502.062031481875</v>
      </c>
      <c r="F9" s="18">
        <v>1531</v>
      </c>
      <c r="G9" s="19">
        <f t="shared" si="3"/>
        <v>28.93796851812499</v>
      </c>
    </row>
    <row r="10" spans="1:8" s="10" customFormat="1" ht="15">
      <c r="A10" s="2" t="s">
        <v>76</v>
      </c>
      <c r="B10" s="18">
        <v>25.51</v>
      </c>
      <c r="C10" s="16">
        <f t="shared" si="0"/>
        <v>2.699413539586078</v>
      </c>
      <c r="D10" s="16">
        <f t="shared" si="1"/>
        <v>28.20941353958608</v>
      </c>
      <c r="E10" s="17">
        <f t="shared" si="2"/>
        <v>1317.6617064340658</v>
      </c>
      <c r="F10" s="18">
        <v>1319</v>
      </c>
      <c r="G10" s="19">
        <f t="shared" si="3"/>
        <v>1.3382935659342365</v>
      </c>
      <c r="H10" s="48"/>
    </row>
    <row r="11" spans="1:7" s="10" customFormat="1" ht="15">
      <c r="A11" s="69" t="s">
        <v>138</v>
      </c>
      <c r="B11" s="15">
        <v>87.53</v>
      </c>
      <c r="C11" s="16">
        <f t="shared" si="0"/>
        <v>9.262237048999193</v>
      </c>
      <c r="D11" s="21"/>
      <c r="E11" s="22"/>
      <c r="F11" s="22"/>
      <c r="G11" s="22"/>
    </row>
    <row r="12" spans="1:7" s="10" customFormat="1" ht="15">
      <c r="A12" s="23"/>
      <c r="B12" s="24">
        <f>SUM(B4:B11)</f>
        <v>235.31</v>
      </c>
      <c r="C12" s="24">
        <v>24.9</v>
      </c>
      <c r="D12" s="21"/>
      <c r="E12" s="22"/>
      <c r="F12" s="22"/>
      <c r="G12" s="22"/>
    </row>
    <row r="14" ht="31.5">
      <c r="A14" s="55" t="s">
        <v>154</v>
      </c>
    </row>
    <row r="15" ht="31.5">
      <c r="A15" s="56" t="s">
        <v>39</v>
      </c>
    </row>
    <row r="16" ht="15">
      <c r="A16" s="63" t="s">
        <v>207</v>
      </c>
    </row>
    <row r="29" ht="31.5">
      <c r="A29" s="55" t="s">
        <v>208</v>
      </c>
    </row>
    <row r="30" ht="31.5">
      <c r="A30" s="55" t="s">
        <v>209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41838</v>
      </c>
      <c r="C1" s="7"/>
      <c r="D1" s="8" t="s">
        <v>127</v>
      </c>
      <c r="E1" s="9">
        <v>48.41</v>
      </c>
      <c r="G1" s="10" t="s">
        <v>128</v>
      </c>
    </row>
    <row r="2" s="10" customFormat="1" ht="23.25" customHeight="1">
      <c r="A2" s="11" t="s">
        <v>210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22.03</v>
      </c>
      <c r="C4" s="16">
        <f aca="true" t="shared" si="0" ref="C4:C15">B4/$B$16*$C$16</f>
        <v>2.048039874551971</v>
      </c>
      <c r="D4" s="16">
        <f aca="true" t="shared" si="1" ref="D4:D14">B4+C4</f>
        <v>24.078039874551973</v>
      </c>
      <c r="E4" s="17">
        <f aca="true" t="shared" si="2" ref="E4:E14">D4*$E$1</f>
        <v>1165.6179103270608</v>
      </c>
      <c r="F4" s="18">
        <v>1166</v>
      </c>
      <c r="G4" s="19">
        <f aca="true" t="shared" si="3" ref="G4:G14">F4-E4</f>
        <v>0.3820896729391734</v>
      </c>
    </row>
    <row r="5" spans="1:7" s="10" customFormat="1" ht="15">
      <c r="A5" s="2" t="s">
        <v>211</v>
      </c>
      <c r="B5" s="18">
        <v>9.93</v>
      </c>
      <c r="C5" s="16">
        <f t="shared" si="0"/>
        <v>0.9231518817204298</v>
      </c>
      <c r="D5" s="16">
        <f t="shared" si="1"/>
        <v>10.853151881720429</v>
      </c>
      <c r="E5" s="17">
        <f t="shared" si="2"/>
        <v>525.4010825940859</v>
      </c>
      <c r="F5" s="18">
        <f>521+4</f>
        <v>525</v>
      </c>
      <c r="G5" s="19">
        <f t="shared" si="3"/>
        <v>-0.4010825940858922</v>
      </c>
    </row>
    <row r="6" spans="1:8" s="10" customFormat="1" ht="15">
      <c r="A6" s="2" t="s">
        <v>49</v>
      </c>
      <c r="B6" s="18">
        <v>22.94</v>
      </c>
      <c r="C6" s="16">
        <f t="shared" si="0"/>
        <v>2.1326388888888888</v>
      </c>
      <c r="D6" s="16">
        <f t="shared" si="1"/>
        <v>25.07263888888889</v>
      </c>
      <c r="E6" s="17">
        <f t="shared" si="2"/>
        <v>1213.766448611111</v>
      </c>
      <c r="F6" s="18">
        <v>1210</v>
      </c>
      <c r="G6" s="19">
        <f t="shared" si="3"/>
        <v>-3.7664486111109454</v>
      </c>
      <c r="H6" s="48"/>
    </row>
    <row r="7" spans="1:8" s="10" customFormat="1" ht="15">
      <c r="A7" s="2" t="s">
        <v>117</v>
      </c>
      <c r="B7" s="18">
        <v>30.74</v>
      </c>
      <c r="C7" s="16">
        <f t="shared" si="0"/>
        <v>2.857773297491039</v>
      </c>
      <c r="D7" s="16">
        <f t="shared" si="1"/>
        <v>33.59777329749104</v>
      </c>
      <c r="E7" s="17">
        <f t="shared" si="2"/>
        <v>1626.468205331541</v>
      </c>
      <c r="F7" s="18">
        <f>1613+13</f>
        <v>1626</v>
      </c>
      <c r="G7" s="19">
        <f t="shared" si="3"/>
        <v>-0.46820533154095756</v>
      </c>
      <c r="H7" s="65"/>
    </row>
    <row r="8" spans="1:7" s="10" customFormat="1" ht="15">
      <c r="A8" s="2" t="s">
        <v>48</v>
      </c>
      <c r="B8" s="18">
        <v>27.2</v>
      </c>
      <c r="C8" s="16">
        <f t="shared" si="0"/>
        <v>2.5286738351254474</v>
      </c>
      <c r="D8" s="16">
        <f t="shared" si="1"/>
        <v>29.72867383512545</v>
      </c>
      <c r="E8" s="17">
        <f t="shared" si="2"/>
        <v>1439.165100358423</v>
      </c>
      <c r="F8" s="18">
        <v>1500</v>
      </c>
      <c r="G8" s="19">
        <f t="shared" si="3"/>
        <v>60.83489964157707</v>
      </c>
    </row>
    <row r="9" spans="1:7" s="10" customFormat="1" ht="15">
      <c r="A9" s="2" t="s">
        <v>87</v>
      </c>
      <c r="B9" s="18">
        <v>9.53</v>
      </c>
      <c r="C9" s="16">
        <f t="shared" si="0"/>
        <v>0.8859655017921145</v>
      </c>
      <c r="D9" s="16">
        <f t="shared" si="1"/>
        <v>10.415965501792114</v>
      </c>
      <c r="E9" s="17">
        <f t="shared" si="2"/>
        <v>504.2368899417562</v>
      </c>
      <c r="F9" s="18">
        <v>500</v>
      </c>
      <c r="G9" s="19">
        <f t="shared" si="3"/>
        <v>-4.236889941756203</v>
      </c>
    </row>
    <row r="10" spans="1:7" s="10" customFormat="1" ht="15">
      <c r="A10" s="2" t="s">
        <v>37</v>
      </c>
      <c r="B10" s="18">
        <v>25.72</v>
      </c>
      <c r="C10" s="16">
        <f t="shared" si="0"/>
        <v>2.3910842293906804</v>
      </c>
      <c r="D10" s="16">
        <f t="shared" si="1"/>
        <v>28.11108422939068</v>
      </c>
      <c r="E10" s="17">
        <f t="shared" si="2"/>
        <v>1360.8575875448028</v>
      </c>
      <c r="F10" s="18">
        <v>1341</v>
      </c>
      <c r="G10" s="19">
        <f t="shared" si="3"/>
        <v>-19.857587544802755</v>
      </c>
    </row>
    <row r="11" spans="1:8" s="10" customFormat="1" ht="15">
      <c r="A11" s="2" t="s">
        <v>98</v>
      </c>
      <c r="B11" s="18">
        <v>32.62</v>
      </c>
      <c r="C11" s="16">
        <f t="shared" si="0"/>
        <v>3.0325492831541214</v>
      </c>
      <c r="D11" s="16">
        <f t="shared" si="1"/>
        <v>35.652549283154116</v>
      </c>
      <c r="E11" s="17">
        <f t="shared" si="2"/>
        <v>1725.9399107974907</v>
      </c>
      <c r="F11" s="18">
        <f>1711+14</f>
        <v>1725</v>
      </c>
      <c r="G11" s="19">
        <f t="shared" si="3"/>
        <v>-0.939910797490711</v>
      </c>
      <c r="H11" s="48"/>
    </row>
    <row r="12" spans="1:8" s="10" customFormat="1" ht="15">
      <c r="A12" s="2" t="s">
        <v>114</v>
      </c>
      <c r="B12" s="18">
        <v>13.6</v>
      </c>
      <c r="C12" s="16">
        <f t="shared" si="0"/>
        <v>1.2643369175627237</v>
      </c>
      <c r="D12" s="16">
        <f t="shared" si="1"/>
        <v>14.864336917562724</v>
      </c>
      <c r="E12" s="17">
        <f t="shared" si="2"/>
        <v>719.5825501792115</v>
      </c>
      <c r="F12" s="18">
        <f>714+6</f>
        <v>720</v>
      </c>
      <c r="G12" s="19">
        <f t="shared" si="3"/>
        <v>0.41744982078853354</v>
      </c>
      <c r="H12" s="65"/>
    </row>
    <row r="13" spans="1:7" s="10" customFormat="1" ht="15">
      <c r="A13" s="2" t="s">
        <v>17</v>
      </c>
      <c r="B13" s="18">
        <v>36.21</v>
      </c>
      <c r="C13" s="16">
        <f t="shared" si="0"/>
        <v>3.366297043010752</v>
      </c>
      <c r="D13" s="16">
        <f t="shared" si="1"/>
        <v>39.576297043010754</v>
      </c>
      <c r="E13" s="17">
        <f t="shared" si="2"/>
        <v>1915.8885398521504</v>
      </c>
      <c r="F13" s="18">
        <v>1900</v>
      </c>
      <c r="G13" s="19">
        <f t="shared" si="3"/>
        <v>-15.888539852150416</v>
      </c>
    </row>
    <row r="14" spans="1:7" s="10" customFormat="1" ht="15">
      <c r="A14" s="2" t="s">
        <v>96</v>
      </c>
      <c r="B14" s="18">
        <v>23.84</v>
      </c>
      <c r="C14" s="16">
        <f t="shared" si="0"/>
        <v>2.2163082437275983</v>
      </c>
      <c r="D14" s="16">
        <f t="shared" si="1"/>
        <v>26.0563082437276</v>
      </c>
      <c r="E14" s="17">
        <f t="shared" si="2"/>
        <v>1261.385882078853</v>
      </c>
      <c r="F14" s="18">
        <f>1251+10</f>
        <v>1261</v>
      </c>
      <c r="G14" s="19">
        <f t="shared" si="3"/>
        <v>-0.3858820788530011</v>
      </c>
    </row>
    <row r="15" spans="1:7" s="10" customFormat="1" ht="15">
      <c r="A15" s="69" t="s">
        <v>138</v>
      </c>
      <c r="B15" s="15">
        <v>13.48</v>
      </c>
      <c r="C15" s="16">
        <f t="shared" si="0"/>
        <v>1.2531810035842292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267.84000000000003</v>
      </c>
      <c r="C16" s="24">
        <v>24.9</v>
      </c>
      <c r="D16" s="21"/>
      <c r="E16" s="22"/>
      <c r="F16" s="22"/>
      <c r="G16" s="22"/>
    </row>
    <row r="18" ht="31.5">
      <c r="A18" s="55" t="s">
        <v>154</v>
      </c>
    </row>
    <row r="19" ht="31.5">
      <c r="A19" s="56" t="s">
        <v>39</v>
      </c>
    </row>
    <row r="20" ht="15">
      <c r="A20" s="63" t="s">
        <v>207</v>
      </c>
    </row>
    <row r="21" ht="31.5">
      <c r="A21" s="56" t="s">
        <v>37</v>
      </c>
    </row>
    <row r="22" spans="1:2" ht="45">
      <c r="A22" s="70" t="s">
        <v>212</v>
      </c>
      <c r="B22" s="63" t="s">
        <v>213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41854</v>
      </c>
      <c r="C1" s="7"/>
      <c r="D1" s="8" t="s">
        <v>127</v>
      </c>
      <c r="E1" s="9">
        <f>48.86</f>
        <v>48.86</v>
      </c>
      <c r="G1" s="10" t="s">
        <v>128</v>
      </c>
    </row>
    <row r="2" s="10" customFormat="1" ht="23.25" customHeight="1">
      <c r="A2" s="11" t="s">
        <v>214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55</v>
      </c>
      <c r="B4" s="18">
        <v>9.43</v>
      </c>
      <c r="C4" s="16">
        <f aca="true" t="shared" si="0" ref="C4:C12">B4/$B$13*$C$13</f>
        <v>1.1715746931443967</v>
      </c>
      <c r="D4" s="16">
        <f aca="true" t="shared" si="1" ref="D4:D11">B4+C4</f>
        <v>10.601574693144396</v>
      </c>
      <c r="E4" s="17">
        <f aca="true" t="shared" si="2" ref="E4:E11">D4*$E$1</f>
        <v>517.9929395070352</v>
      </c>
      <c r="F4" s="18">
        <f>517+1</f>
        <v>518</v>
      </c>
      <c r="G4" s="19">
        <f aca="true" t="shared" si="3" ref="G4:G11">F4-E4</f>
        <v>0.007060492964797049</v>
      </c>
    </row>
    <row r="5" spans="1:7" s="10" customFormat="1" ht="15">
      <c r="A5" s="2" t="s">
        <v>116</v>
      </c>
      <c r="B5" s="18">
        <v>30</v>
      </c>
      <c r="C5" s="16">
        <f t="shared" si="0"/>
        <v>3.7271729368326514</v>
      </c>
      <c r="D5" s="16">
        <f t="shared" si="1"/>
        <v>33.72717293683265</v>
      </c>
      <c r="E5" s="17">
        <f t="shared" si="2"/>
        <v>1647.9096696936433</v>
      </c>
      <c r="F5" s="18">
        <v>1645</v>
      </c>
      <c r="G5" s="19">
        <f t="shared" si="3"/>
        <v>-2.909669693643309</v>
      </c>
    </row>
    <row r="6" spans="1:8" s="10" customFormat="1" ht="15">
      <c r="A6" s="2" t="s">
        <v>25</v>
      </c>
      <c r="B6" s="18">
        <v>14.25</v>
      </c>
      <c r="C6" s="16">
        <f t="shared" si="0"/>
        <v>1.7704071449955097</v>
      </c>
      <c r="D6" s="16">
        <f t="shared" si="1"/>
        <v>16.02040714499551</v>
      </c>
      <c r="E6" s="17">
        <f t="shared" si="2"/>
        <v>782.7570931044805</v>
      </c>
      <c r="F6" s="18">
        <v>781</v>
      </c>
      <c r="G6" s="19">
        <f t="shared" si="3"/>
        <v>-1.757093104480532</v>
      </c>
      <c r="H6" s="48"/>
    </row>
    <row r="7" spans="1:8" s="10" customFormat="1" ht="15">
      <c r="A7" s="2" t="s">
        <v>108</v>
      </c>
      <c r="B7" s="18">
        <v>56.46</v>
      </c>
      <c r="C7" s="16">
        <f t="shared" si="0"/>
        <v>7.01453946711905</v>
      </c>
      <c r="D7" s="16">
        <f t="shared" si="1"/>
        <v>63.47453946711905</v>
      </c>
      <c r="E7" s="17">
        <f t="shared" si="2"/>
        <v>3101.3659983634366</v>
      </c>
      <c r="F7" s="18">
        <f>3000+101</f>
        <v>3101</v>
      </c>
      <c r="G7" s="19">
        <f t="shared" si="3"/>
        <v>-0.36599836343657444</v>
      </c>
      <c r="H7" s="65"/>
    </row>
    <row r="8" spans="1:7" s="10" customFormat="1" ht="15">
      <c r="A8" s="2" t="s">
        <v>109</v>
      </c>
      <c r="B8" s="18">
        <v>17.9</v>
      </c>
      <c r="C8" s="16">
        <f t="shared" si="0"/>
        <v>2.2238798523101484</v>
      </c>
      <c r="D8" s="16">
        <f t="shared" si="1"/>
        <v>20.123879852310147</v>
      </c>
      <c r="E8" s="17">
        <f t="shared" si="2"/>
        <v>983.2527695838737</v>
      </c>
      <c r="F8" s="18">
        <v>982</v>
      </c>
      <c r="G8" s="19">
        <f t="shared" si="3"/>
        <v>-1.2527695838737145</v>
      </c>
    </row>
    <row r="9" spans="1:7" s="10" customFormat="1" ht="15">
      <c r="A9" s="2" t="s">
        <v>215</v>
      </c>
      <c r="B9" s="18">
        <v>11.1</v>
      </c>
      <c r="C9" s="16">
        <f t="shared" si="0"/>
        <v>1.3790539866280809</v>
      </c>
      <c r="D9" s="16">
        <f t="shared" si="1"/>
        <v>12.479053986628081</v>
      </c>
      <c r="E9" s="17">
        <f t="shared" si="2"/>
        <v>609.726577786648</v>
      </c>
      <c r="F9" s="18">
        <v>609</v>
      </c>
      <c r="G9" s="19">
        <f t="shared" si="3"/>
        <v>-0.7265777866480221</v>
      </c>
    </row>
    <row r="10" spans="1:7" s="10" customFormat="1" ht="15">
      <c r="A10" s="2" t="s">
        <v>122</v>
      </c>
      <c r="B10" s="18">
        <v>9.98</v>
      </c>
      <c r="C10" s="16">
        <f t="shared" si="0"/>
        <v>1.2399061969863288</v>
      </c>
      <c r="D10" s="16">
        <f t="shared" si="1"/>
        <v>11.21990619698633</v>
      </c>
      <c r="E10" s="17">
        <f t="shared" si="2"/>
        <v>548.204616784752</v>
      </c>
      <c r="F10" s="18">
        <v>547</v>
      </c>
      <c r="G10" s="19">
        <f t="shared" si="3"/>
        <v>-1.2046167847520337</v>
      </c>
    </row>
    <row r="11" spans="1:8" s="10" customFormat="1" ht="15">
      <c r="A11" s="2" t="s">
        <v>98</v>
      </c>
      <c r="B11" s="18">
        <v>26.4</v>
      </c>
      <c r="C11" s="16">
        <f t="shared" si="0"/>
        <v>3.279912184412733</v>
      </c>
      <c r="D11" s="16">
        <f t="shared" si="1"/>
        <v>29.679912184412732</v>
      </c>
      <c r="E11" s="17">
        <f t="shared" si="2"/>
        <v>1450.160509330406</v>
      </c>
      <c r="F11" s="18">
        <f>1448+2</f>
        <v>1450</v>
      </c>
      <c r="G11" s="19">
        <f t="shared" si="3"/>
        <v>-0.16050933040605742</v>
      </c>
      <c r="H11" s="48"/>
    </row>
    <row r="12" spans="1:7" s="10" customFormat="1" ht="15">
      <c r="A12" s="69" t="s">
        <v>138</v>
      </c>
      <c r="B12" s="15">
        <v>24.9</v>
      </c>
      <c r="C12" s="16">
        <f t="shared" si="0"/>
        <v>3.0935535375711005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200.42</v>
      </c>
      <c r="C13" s="24">
        <v>24.9</v>
      </c>
      <c r="D13" s="21"/>
      <c r="E13" s="22"/>
      <c r="F13" s="22"/>
      <c r="G1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41881</v>
      </c>
      <c r="C1" s="7"/>
      <c r="D1" s="8" t="s">
        <v>127</v>
      </c>
      <c r="E1" s="9">
        <v>50.06</v>
      </c>
      <c r="G1" s="10" t="s">
        <v>128</v>
      </c>
    </row>
    <row r="2" s="10" customFormat="1" ht="23.25" customHeight="1">
      <c r="A2" s="11" t="s">
        <v>216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</v>
      </c>
      <c r="B4" s="18">
        <v>9.99</v>
      </c>
      <c r="C4" s="16">
        <f aca="true" t="shared" si="0" ref="C4:C12">B4/$B$13*$C$13</f>
        <v>1.1510388228217112</v>
      </c>
      <c r="D4" s="16">
        <f aca="true" t="shared" si="1" ref="D4:D11">B4+C4</f>
        <v>11.141038822821711</v>
      </c>
      <c r="E4" s="17">
        <f aca="true" t="shared" si="2" ref="E4:E11">D4*$E$1</f>
        <v>557.7204034704549</v>
      </c>
      <c r="F4" s="18">
        <f>548+5</f>
        <v>553</v>
      </c>
      <c r="G4" s="19">
        <f aca="true" t="shared" si="3" ref="G4:G11">F4-E4</f>
        <v>-4.720403470454926</v>
      </c>
    </row>
    <row r="5" spans="1:7" s="10" customFormat="1" ht="15">
      <c r="A5" s="2" t="s">
        <v>57</v>
      </c>
      <c r="B5" s="18">
        <v>14.25</v>
      </c>
      <c r="C5" s="16">
        <f t="shared" si="0"/>
        <v>1.6418721947156538</v>
      </c>
      <c r="D5" s="16">
        <f t="shared" si="1"/>
        <v>15.891872194715654</v>
      </c>
      <c r="E5" s="17">
        <f t="shared" si="2"/>
        <v>795.5471220674657</v>
      </c>
      <c r="F5" s="18">
        <v>788</v>
      </c>
      <c r="G5" s="19">
        <f t="shared" si="3"/>
        <v>-7.547122067465693</v>
      </c>
    </row>
    <row r="6" spans="1:8" s="10" customFormat="1" ht="15">
      <c r="A6" s="2" t="s">
        <v>37</v>
      </c>
      <c r="B6" s="18">
        <v>77.11</v>
      </c>
      <c r="C6" s="16">
        <f t="shared" si="0"/>
        <v>8.884544907685902</v>
      </c>
      <c r="D6" s="16">
        <f t="shared" si="1"/>
        <v>85.9945449076859</v>
      </c>
      <c r="E6" s="17">
        <f t="shared" si="2"/>
        <v>4304.886918078757</v>
      </c>
      <c r="F6" s="18">
        <v>4277</v>
      </c>
      <c r="G6" s="19">
        <f t="shared" si="3"/>
        <v>-27.886918078756935</v>
      </c>
      <c r="H6" s="48"/>
    </row>
    <row r="7" spans="1:8" s="10" customFormat="1" ht="15">
      <c r="A7" s="2" t="s">
        <v>217</v>
      </c>
      <c r="B7" s="18">
        <v>40.8</v>
      </c>
      <c r="C7" s="16">
        <f t="shared" si="0"/>
        <v>4.70093933644903</v>
      </c>
      <c r="D7" s="16">
        <f t="shared" si="1"/>
        <v>45.50093933644903</v>
      </c>
      <c r="E7" s="17">
        <f t="shared" si="2"/>
        <v>2277.7770231826385</v>
      </c>
      <c r="F7" s="18">
        <f>2257+21</f>
        <v>2278</v>
      </c>
      <c r="G7" s="19">
        <f t="shared" si="3"/>
        <v>0.22297681736154118</v>
      </c>
      <c r="H7" s="65"/>
    </row>
    <row r="8" spans="1:7" s="10" customFormat="1" ht="15">
      <c r="A8" s="2" t="s">
        <v>7</v>
      </c>
      <c r="B8" s="18">
        <v>21.93</v>
      </c>
      <c r="C8" s="16">
        <f t="shared" si="0"/>
        <v>2.5267548933413537</v>
      </c>
      <c r="D8" s="16">
        <f t="shared" si="1"/>
        <v>24.456754893341355</v>
      </c>
      <c r="E8" s="17">
        <f t="shared" si="2"/>
        <v>1224.3051499606684</v>
      </c>
      <c r="F8" s="18">
        <v>1213</v>
      </c>
      <c r="G8" s="19">
        <f t="shared" si="3"/>
        <v>-11.30514996066836</v>
      </c>
    </row>
    <row r="9" spans="1:7" s="10" customFormat="1" ht="15">
      <c r="A9" s="2" t="s">
        <v>73</v>
      </c>
      <c r="B9" s="18">
        <v>9.12</v>
      </c>
      <c r="C9" s="16">
        <f t="shared" si="0"/>
        <v>1.0507982046180186</v>
      </c>
      <c r="D9" s="16">
        <f t="shared" si="1"/>
        <v>10.170798204618018</v>
      </c>
      <c r="E9" s="17">
        <f t="shared" si="2"/>
        <v>509.150158123178</v>
      </c>
      <c r="F9" s="18">
        <v>505</v>
      </c>
      <c r="G9" s="19">
        <f t="shared" si="3"/>
        <v>-4.1501581231780165</v>
      </c>
    </row>
    <row r="10" spans="1:7" s="10" customFormat="1" ht="15">
      <c r="A10" s="2" t="s">
        <v>218</v>
      </c>
      <c r="B10" s="18">
        <v>18.71</v>
      </c>
      <c r="C10" s="16">
        <f t="shared" si="0"/>
        <v>2.155749386886308</v>
      </c>
      <c r="D10" s="16">
        <f t="shared" si="1"/>
        <v>20.865749386886307</v>
      </c>
      <c r="E10" s="17">
        <f t="shared" si="2"/>
        <v>1044.5394143075287</v>
      </c>
      <c r="F10" s="18">
        <v>1035</v>
      </c>
      <c r="G10" s="19">
        <f t="shared" si="3"/>
        <v>-9.53941430752866</v>
      </c>
    </row>
    <row r="11" spans="1:8" s="10" customFormat="1" ht="15">
      <c r="A11" s="2" t="s">
        <v>14</v>
      </c>
      <c r="B11" s="18">
        <v>4.42</v>
      </c>
      <c r="C11" s="16">
        <f t="shared" si="0"/>
        <v>0.5092684281153117</v>
      </c>
      <c r="D11" s="16">
        <f t="shared" si="1"/>
        <v>4.929268428115312</v>
      </c>
      <c r="E11" s="17">
        <f t="shared" si="2"/>
        <v>246.75917751145252</v>
      </c>
      <c r="F11" s="18">
        <f>245+2</f>
        <v>247</v>
      </c>
      <c r="G11" s="19">
        <f t="shared" si="3"/>
        <v>0.24082248854747945</v>
      </c>
      <c r="H11" s="48"/>
    </row>
    <row r="12" spans="1:7" s="10" customFormat="1" ht="15">
      <c r="A12" s="69" t="s">
        <v>138</v>
      </c>
      <c r="B12" s="15">
        <v>19.78</v>
      </c>
      <c r="C12" s="16">
        <f t="shared" si="0"/>
        <v>2.2790338253667115</v>
      </c>
      <c r="D12" s="21"/>
      <c r="E12" s="22"/>
      <c r="F12" s="22"/>
      <c r="G12" s="22"/>
    </row>
    <row r="13" spans="1:7" s="10" customFormat="1" ht="15">
      <c r="A13" s="23"/>
      <c r="B13" s="24">
        <v>216.10999999999999</v>
      </c>
      <c r="C13" s="24">
        <v>24.9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72" t="s">
        <v>37</v>
      </c>
      <c r="B16" s="72"/>
      <c r="C16" s="72"/>
      <c r="D16" s="72"/>
      <c r="E16" s="72"/>
      <c r="F16" s="72"/>
      <c r="G16" s="73"/>
    </row>
    <row r="17" s="10" customFormat="1" ht="15">
      <c r="A17" s="75" t="s">
        <v>221</v>
      </c>
    </row>
    <row r="18" spans="1:7" s="74" customFormat="1" ht="31.5">
      <c r="A18" s="72" t="s">
        <v>222</v>
      </c>
      <c r="B18" s="72"/>
      <c r="C18" s="72"/>
      <c r="D18" s="72"/>
      <c r="E18" s="72"/>
      <c r="F18" s="72"/>
      <c r="G18" s="73"/>
    </row>
    <row r="19" s="10" customFormat="1" ht="15">
      <c r="A19" s="76" t="s">
        <v>223</v>
      </c>
    </row>
    <row r="20" ht="15">
      <c r="A20" s="71" t="s">
        <v>224</v>
      </c>
    </row>
    <row r="21" spans="1:7" s="74" customFormat="1" ht="31.5">
      <c r="A21" s="72" t="s">
        <v>14</v>
      </c>
      <c r="B21" s="72"/>
      <c r="C21" s="72"/>
      <c r="D21" s="72"/>
      <c r="E21" s="72"/>
      <c r="F21" s="72"/>
      <c r="G21" s="73"/>
    </row>
    <row r="22" spans="1:7" s="10" customFormat="1" ht="15">
      <c r="A22" s="75" t="s">
        <v>205</v>
      </c>
      <c r="G22"/>
    </row>
    <row r="23" spans="1:7" s="74" customFormat="1" ht="31.5">
      <c r="A23" s="72" t="s">
        <v>225</v>
      </c>
      <c r="B23" s="72"/>
      <c r="C23" s="72"/>
      <c r="D23" s="72"/>
      <c r="E23" s="72"/>
      <c r="F23" s="72"/>
      <c r="G23" s="73"/>
    </row>
    <row r="24" spans="1:7" s="10" customFormat="1" ht="15">
      <c r="A24" s="10" t="s">
        <v>226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10" customFormat="1" ht="21.75" customHeight="1">
      <c r="A1" s="6" t="s">
        <v>126</v>
      </c>
      <c r="B1" s="7">
        <v>41895</v>
      </c>
      <c r="C1" s="7"/>
      <c r="D1" s="8" t="s">
        <v>127</v>
      </c>
      <c r="E1" s="9">
        <v>49.71</v>
      </c>
      <c r="G1" s="10" t="s">
        <v>128</v>
      </c>
    </row>
    <row r="2" s="10" customFormat="1" ht="23.25" customHeight="1">
      <c r="A2" s="11" t="s">
        <v>227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87</v>
      </c>
      <c r="B4" s="18">
        <v>7.14</v>
      </c>
      <c r="C4" s="16">
        <f aca="true" t="shared" si="0" ref="C4:C10">B4/$B$11*$C$11</f>
        <v>0.871047619047619</v>
      </c>
      <c r="D4" s="16">
        <f aca="true" t="shared" si="1" ref="D4:D9">B4+C4</f>
        <v>8.011047619047618</v>
      </c>
      <c r="E4" s="17">
        <f aca="true" t="shared" si="2" ref="E4:E9">D4*$E$1</f>
        <v>398.2291771428571</v>
      </c>
      <c r="F4" s="18">
        <v>398</v>
      </c>
      <c r="G4" s="19">
        <f aca="true" t="shared" si="3" ref="G4:G9">F4-E4</f>
        <v>-0.229177142857111</v>
      </c>
    </row>
    <row r="5" spans="1:7" s="10" customFormat="1" ht="15">
      <c r="A5" s="2" t="s">
        <v>228</v>
      </c>
      <c r="B5" s="18">
        <v>9.7</v>
      </c>
      <c r="C5" s="16">
        <f t="shared" si="0"/>
        <v>1.1833560090702948</v>
      </c>
      <c r="D5" s="16">
        <f t="shared" si="1"/>
        <v>10.883356009070294</v>
      </c>
      <c r="E5" s="17">
        <f t="shared" si="2"/>
        <v>541.0116272108843</v>
      </c>
      <c r="F5" s="18">
        <v>541</v>
      </c>
      <c r="G5" s="19">
        <f t="shared" si="3"/>
        <v>-0.011627210884284978</v>
      </c>
    </row>
    <row r="6" spans="1:7" s="10" customFormat="1" ht="15">
      <c r="A6" s="2" t="s">
        <v>8</v>
      </c>
      <c r="B6" s="18">
        <v>17.86</v>
      </c>
      <c r="C6" s="16">
        <f t="shared" si="0"/>
        <v>2.1788390022675737</v>
      </c>
      <c r="D6" s="16">
        <f t="shared" si="1"/>
        <v>20.038839002267572</v>
      </c>
      <c r="E6" s="17">
        <f t="shared" si="2"/>
        <v>996.130686802721</v>
      </c>
      <c r="F6" s="18">
        <v>1000</v>
      </c>
      <c r="G6" s="19">
        <f>F6-E6</f>
        <v>3.8693131972789843</v>
      </c>
    </row>
    <row r="7" spans="1:8" s="10" customFormat="1" ht="15">
      <c r="A7" s="2" t="s">
        <v>116</v>
      </c>
      <c r="B7" s="18">
        <v>48.65</v>
      </c>
      <c r="C7" s="16">
        <f t="shared" si="0"/>
        <v>5.935079365079365</v>
      </c>
      <c r="D7" s="16">
        <f t="shared" si="1"/>
        <v>54.585079365079366</v>
      </c>
      <c r="E7" s="17">
        <f t="shared" si="2"/>
        <v>2713.4242952380955</v>
      </c>
      <c r="F7" s="18">
        <v>2713</v>
      </c>
      <c r="G7" s="19">
        <f t="shared" si="3"/>
        <v>-0.4242952380955103</v>
      </c>
      <c r="H7" s="48"/>
    </row>
    <row r="8" spans="1:8" s="10" customFormat="1" ht="15">
      <c r="A8" s="2" t="s">
        <v>229</v>
      </c>
      <c r="B8" s="18">
        <v>20.8</v>
      </c>
      <c r="C8" s="16">
        <f t="shared" si="0"/>
        <v>2.5375056689342403</v>
      </c>
      <c r="D8" s="16">
        <f t="shared" si="1"/>
        <v>23.33750566893424</v>
      </c>
      <c r="E8" s="17">
        <f t="shared" si="2"/>
        <v>1160.1074068027212</v>
      </c>
      <c r="F8" s="18">
        <v>1160</v>
      </c>
      <c r="G8" s="19">
        <f t="shared" si="3"/>
        <v>-0.10740680272124337</v>
      </c>
      <c r="H8" s="65"/>
    </row>
    <row r="9" spans="1:7" s="10" customFormat="1" ht="15">
      <c r="A9" s="2" t="s">
        <v>217</v>
      </c>
      <c r="B9" s="18">
        <v>40.8</v>
      </c>
      <c r="C9" s="16">
        <f t="shared" si="0"/>
        <v>4.977414965986394</v>
      </c>
      <c r="D9" s="16">
        <f t="shared" si="1"/>
        <v>45.777414965986395</v>
      </c>
      <c r="E9" s="17">
        <f t="shared" si="2"/>
        <v>2275.595297959184</v>
      </c>
      <c r="F9" s="18">
        <v>2296</v>
      </c>
      <c r="G9" s="19">
        <f t="shared" si="3"/>
        <v>20.40470204081612</v>
      </c>
    </row>
    <row r="10" spans="1:7" s="10" customFormat="1" ht="15">
      <c r="A10" s="69" t="s">
        <v>138</v>
      </c>
      <c r="B10" s="15">
        <v>75.55</v>
      </c>
      <c r="C10" s="16">
        <f t="shared" si="0"/>
        <v>9.21675736961451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220.5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10" customFormat="1" ht="21.75" customHeight="1">
      <c r="A1" s="6" t="s">
        <v>126</v>
      </c>
      <c r="B1" s="7">
        <v>41498</v>
      </c>
      <c r="C1" s="7"/>
      <c r="D1" s="8" t="s">
        <v>127</v>
      </c>
      <c r="E1" s="9">
        <v>44.91</v>
      </c>
      <c r="G1" s="10" t="s">
        <v>128</v>
      </c>
    </row>
    <row r="2" s="10" customFormat="1" ht="23.25" customHeight="1">
      <c r="A2" s="11" t="s">
        <v>129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113</v>
      </c>
      <c r="B4" s="15">
        <v>28.07</v>
      </c>
      <c r="C4" s="16">
        <f aca="true" t="shared" si="0" ref="C4:C15">B4/$B$16*$C$16</f>
        <v>1.6670637027206368</v>
      </c>
      <c r="D4" s="16">
        <f aca="true" t="shared" si="1" ref="D4:D14">B4+C4</f>
        <v>29.737063702720636</v>
      </c>
      <c r="E4" s="17">
        <f aca="true" t="shared" si="2" ref="E4:E14">D4*$E$1</f>
        <v>1335.4915308891837</v>
      </c>
      <c r="F4" s="18">
        <v>1334</v>
      </c>
      <c r="G4" s="19">
        <f aca="true" t="shared" si="3" ref="G4:G9">F4-E4</f>
        <v>-1.4915308891836503</v>
      </c>
    </row>
    <row r="5" spans="1:7" s="10" customFormat="1" ht="15">
      <c r="A5" s="2" t="s">
        <v>8</v>
      </c>
      <c r="B5" s="15">
        <v>34.36</v>
      </c>
      <c r="C5" s="16">
        <f t="shared" si="0"/>
        <v>2.0406237558062372</v>
      </c>
      <c r="D5" s="16">
        <f t="shared" si="1"/>
        <v>36.40062375580624</v>
      </c>
      <c r="E5" s="17">
        <f t="shared" si="2"/>
        <v>1634.7520128732579</v>
      </c>
      <c r="F5" s="18">
        <v>1633</v>
      </c>
      <c r="G5" s="19">
        <f t="shared" si="3"/>
        <v>-1.7520128732578542</v>
      </c>
    </row>
    <row r="6" spans="1:7" s="10" customFormat="1" ht="15">
      <c r="A6" s="2" t="s">
        <v>122</v>
      </c>
      <c r="B6" s="15">
        <v>8.45</v>
      </c>
      <c r="C6" s="16">
        <f t="shared" si="0"/>
        <v>0.5018414067684139</v>
      </c>
      <c r="D6" s="16">
        <f t="shared" si="1"/>
        <v>8.951841406768413</v>
      </c>
      <c r="E6" s="17">
        <f t="shared" si="2"/>
        <v>402.0271975779694</v>
      </c>
      <c r="F6" s="18">
        <v>402</v>
      </c>
      <c r="G6" s="19">
        <f t="shared" si="3"/>
        <v>-0.02719757796938893</v>
      </c>
    </row>
    <row r="7" spans="1:7" s="10" customFormat="1" ht="15">
      <c r="A7" s="2" t="s">
        <v>125</v>
      </c>
      <c r="B7" s="15">
        <v>29.13</v>
      </c>
      <c r="C7" s="16">
        <f t="shared" si="0"/>
        <v>1.7300165892501653</v>
      </c>
      <c r="D7" s="16">
        <f t="shared" si="1"/>
        <v>30.860016589250165</v>
      </c>
      <c r="E7" s="17">
        <f t="shared" si="2"/>
        <v>1385.9233450232248</v>
      </c>
      <c r="F7" s="18">
        <v>1400</v>
      </c>
      <c r="G7" s="19">
        <f t="shared" si="3"/>
        <v>14.076654976775217</v>
      </c>
    </row>
    <row r="8" spans="1:7" s="10" customFormat="1" ht="15">
      <c r="A8" s="2" t="s">
        <v>116</v>
      </c>
      <c r="B8" s="15">
        <v>21.7</v>
      </c>
      <c r="C8" s="16">
        <f t="shared" si="0"/>
        <v>1.2887524883875245</v>
      </c>
      <c r="D8" s="16">
        <f t="shared" si="1"/>
        <v>22.988752488387522</v>
      </c>
      <c r="E8" s="17">
        <f t="shared" si="2"/>
        <v>1032.4248742534835</v>
      </c>
      <c r="F8" s="18">
        <f>1031+1</f>
        <v>1032</v>
      </c>
      <c r="G8" s="19">
        <f t="shared" si="3"/>
        <v>-0.4248742534834946</v>
      </c>
    </row>
    <row r="9" spans="1:7" s="10" customFormat="1" ht="15">
      <c r="A9" s="2" t="s">
        <v>88</v>
      </c>
      <c r="B9" s="15">
        <v>36.3</v>
      </c>
      <c r="C9" s="16">
        <f t="shared" si="0"/>
        <v>2.155839416058394</v>
      </c>
      <c r="D9" s="16">
        <f t="shared" si="1"/>
        <v>38.45583941605839</v>
      </c>
      <c r="E9" s="17">
        <f t="shared" si="2"/>
        <v>1727.0517481751822</v>
      </c>
      <c r="F9" s="18">
        <v>1750</v>
      </c>
      <c r="G9" s="19">
        <f t="shared" si="3"/>
        <v>22.948251824817817</v>
      </c>
    </row>
    <row r="10" spans="1:8" s="10" customFormat="1" ht="15">
      <c r="A10" s="2" t="s">
        <v>90</v>
      </c>
      <c r="B10" s="15">
        <v>9.9</v>
      </c>
      <c r="C10" s="16">
        <f t="shared" si="0"/>
        <v>0.5879562043795619</v>
      </c>
      <c r="D10" s="16">
        <f t="shared" si="1"/>
        <v>10.487956204379563</v>
      </c>
      <c r="E10" s="17">
        <f t="shared" si="2"/>
        <v>471.0141131386861</v>
      </c>
      <c r="F10" s="18">
        <v>470</v>
      </c>
      <c r="G10" s="19">
        <f>F10-E10+1</f>
        <v>-0.014113138686127513</v>
      </c>
      <c r="H10" s="10" t="s">
        <v>137</v>
      </c>
    </row>
    <row r="11" spans="1:7" s="10" customFormat="1" ht="15">
      <c r="A11" s="2" t="s">
        <v>104</v>
      </c>
      <c r="B11" s="15">
        <v>5.3</v>
      </c>
      <c r="C11" s="16">
        <f t="shared" si="0"/>
        <v>0.31476443264764425</v>
      </c>
      <c r="D11" s="16">
        <f t="shared" si="1"/>
        <v>5.614764432647644</v>
      </c>
      <c r="E11" s="17">
        <f t="shared" si="2"/>
        <v>252.15907067020567</v>
      </c>
      <c r="F11" s="18">
        <f>240+12</f>
        <v>252</v>
      </c>
      <c r="G11" s="19">
        <f>F11-E11</f>
        <v>-0.159070670205665</v>
      </c>
    </row>
    <row r="12" spans="1:7" s="10" customFormat="1" ht="15">
      <c r="A12" s="2" t="s">
        <v>62</v>
      </c>
      <c r="B12" s="15">
        <v>4.24</v>
      </c>
      <c r="C12" s="16">
        <f t="shared" si="0"/>
        <v>0.2518115461181154</v>
      </c>
      <c r="D12" s="16">
        <f t="shared" si="1"/>
        <v>4.491811546118115</v>
      </c>
      <c r="E12" s="17">
        <f t="shared" si="2"/>
        <v>201.72725653616456</v>
      </c>
      <c r="F12" s="18">
        <v>202</v>
      </c>
      <c r="G12" s="19">
        <f>F12-E12</f>
        <v>0.27274346383543957</v>
      </c>
    </row>
    <row r="13" spans="1:7" s="10" customFormat="1" ht="15">
      <c r="A13" s="2" t="s">
        <v>70</v>
      </c>
      <c r="B13" s="15">
        <v>31.7</v>
      </c>
      <c r="C13" s="16">
        <f t="shared" si="0"/>
        <v>1.8826476443264761</v>
      </c>
      <c r="D13" s="16">
        <f t="shared" si="1"/>
        <v>33.58264764432648</v>
      </c>
      <c r="E13" s="17">
        <f t="shared" si="2"/>
        <v>1508.196705706702</v>
      </c>
      <c r="F13" s="18">
        <v>1507</v>
      </c>
      <c r="G13" s="19">
        <f>F13-E13</f>
        <v>-1.196705706702005</v>
      </c>
    </row>
    <row r="14" spans="1:7" s="10" customFormat="1" ht="15">
      <c r="A14" s="2" t="s">
        <v>33</v>
      </c>
      <c r="B14" s="15">
        <v>18.8</v>
      </c>
      <c r="C14" s="16">
        <f t="shared" si="0"/>
        <v>1.116522893165229</v>
      </c>
      <c r="D14" s="16">
        <f t="shared" si="1"/>
        <v>19.91652289316523</v>
      </c>
      <c r="E14" s="17">
        <f t="shared" si="2"/>
        <v>894.4510431320504</v>
      </c>
      <c r="F14" s="18">
        <v>893</v>
      </c>
      <c r="G14" s="19">
        <f>F14-E14</f>
        <v>-1.4510431320503585</v>
      </c>
    </row>
    <row r="15" spans="1:7" s="10" customFormat="1" ht="15">
      <c r="A15" s="20" t="s">
        <v>138</v>
      </c>
      <c r="B15" s="15">
        <f>92.25-18.8</f>
        <v>73.45</v>
      </c>
      <c r="C15" s="16">
        <f t="shared" si="0"/>
        <v>4.362159920371599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301.40000000000003</v>
      </c>
      <c r="C16" s="24">
        <v>17.9</v>
      </c>
      <c r="D16" s="21"/>
      <c r="E16" s="22"/>
      <c r="F16" s="22"/>
      <c r="G1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10" customFormat="1" ht="21.75" customHeight="1">
      <c r="A1" s="6" t="s">
        <v>126</v>
      </c>
      <c r="B1" s="7">
        <v>41908</v>
      </c>
      <c r="C1" s="7"/>
      <c r="D1" s="8" t="s">
        <v>127</v>
      </c>
      <c r="E1" s="9">
        <v>50.26</v>
      </c>
      <c r="G1" s="10" t="s">
        <v>128</v>
      </c>
    </row>
    <row r="2" s="10" customFormat="1" ht="23.25" customHeight="1">
      <c r="A2" s="11" t="s">
        <v>231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25</v>
      </c>
      <c r="B4" s="18">
        <v>14.37</v>
      </c>
      <c r="C4" s="16">
        <f aca="true" t="shared" si="0" ref="C4:C10">B4/$B$11*$C$11</f>
        <v>1.6890369658306386</v>
      </c>
      <c r="D4" s="16">
        <f aca="true" t="shared" si="1" ref="D4:D9">B4+C4</f>
        <v>16.05903696583064</v>
      </c>
      <c r="E4" s="17">
        <f aca="true" t="shared" si="2" ref="E4:E9">D4*$E$1</f>
        <v>807.1271979026479</v>
      </c>
      <c r="F4" s="18">
        <f>794+1</f>
        <v>795</v>
      </c>
      <c r="G4" s="19">
        <f aca="true" t="shared" si="3" ref="G4:G9">F4-E4</f>
        <v>-12.127197902647936</v>
      </c>
    </row>
    <row r="5" spans="1:7" s="10" customFormat="1" ht="15">
      <c r="A5" s="2" t="s">
        <v>232</v>
      </c>
      <c r="B5" s="18">
        <v>8.48</v>
      </c>
      <c r="C5" s="16">
        <f t="shared" si="0"/>
        <v>0.9967316263217687</v>
      </c>
      <c r="D5" s="16">
        <f t="shared" si="1"/>
        <v>9.476731626321769</v>
      </c>
      <c r="E5" s="17">
        <f t="shared" si="2"/>
        <v>476.3005315389321</v>
      </c>
      <c r="F5" s="18">
        <f>472+4</f>
        <v>476</v>
      </c>
      <c r="G5" s="19">
        <f t="shared" si="3"/>
        <v>-0.3005315389320913</v>
      </c>
    </row>
    <row r="6" spans="1:7" s="10" customFormat="1" ht="15">
      <c r="A6" s="2" t="s">
        <v>96</v>
      </c>
      <c r="B6" s="18">
        <v>20.37</v>
      </c>
      <c r="C6" s="16">
        <f t="shared" si="0"/>
        <v>2.394271607096041</v>
      </c>
      <c r="D6" s="16">
        <f t="shared" si="1"/>
        <v>22.764271607096042</v>
      </c>
      <c r="E6" s="17">
        <f t="shared" si="2"/>
        <v>1144.132290972647</v>
      </c>
      <c r="F6" s="18">
        <f>1114</f>
        <v>1114</v>
      </c>
      <c r="G6" s="19">
        <f>F6-E6</f>
        <v>-30.13229097264707</v>
      </c>
    </row>
    <row r="7" spans="1:8" s="10" customFormat="1" ht="15">
      <c r="A7" s="2" t="s">
        <v>37</v>
      </c>
      <c r="B7" s="18">
        <v>16.42</v>
      </c>
      <c r="C7" s="16">
        <f t="shared" si="0"/>
        <v>1.9299921349296514</v>
      </c>
      <c r="D7" s="16">
        <f t="shared" si="1"/>
        <v>18.349992134929654</v>
      </c>
      <c r="E7" s="17">
        <f t="shared" si="2"/>
        <v>922.2706047015644</v>
      </c>
      <c r="F7" s="18">
        <f>953+8</f>
        <v>961</v>
      </c>
      <c r="G7" s="19">
        <f t="shared" si="3"/>
        <v>38.729395298435634</v>
      </c>
      <c r="H7" s="48"/>
    </row>
    <row r="8" spans="1:8" s="10" customFormat="1" ht="15">
      <c r="A8" s="2" t="s">
        <v>23</v>
      </c>
      <c r="B8" s="18">
        <v>31.14</v>
      </c>
      <c r="C8" s="16">
        <f t="shared" si="0"/>
        <v>3.6601677881674384</v>
      </c>
      <c r="D8" s="16">
        <f t="shared" si="1"/>
        <v>34.80016778816744</v>
      </c>
      <c r="E8" s="17">
        <f t="shared" si="2"/>
        <v>1749.0564330332957</v>
      </c>
      <c r="F8" s="18">
        <f>1734+17</f>
        <v>1751</v>
      </c>
      <c r="G8" s="19">
        <f t="shared" si="3"/>
        <v>1.9435669667043385</v>
      </c>
      <c r="H8" s="65"/>
    </row>
    <row r="9" spans="1:7" s="10" customFormat="1" ht="15">
      <c r="A9" s="2" t="s">
        <v>13</v>
      </c>
      <c r="B9" s="18">
        <v>6.21</v>
      </c>
      <c r="C9" s="16">
        <f t="shared" si="0"/>
        <v>0.7299178537096914</v>
      </c>
      <c r="D9" s="16">
        <f t="shared" si="1"/>
        <v>6.939917853709692</v>
      </c>
      <c r="E9" s="17">
        <f t="shared" si="2"/>
        <v>348.8002713274491</v>
      </c>
      <c r="F9" s="18">
        <v>346</v>
      </c>
      <c r="G9" s="19">
        <f t="shared" si="3"/>
        <v>-2.8002713274490816</v>
      </c>
    </row>
    <row r="10" spans="1:7" s="10" customFormat="1" ht="15">
      <c r="A10" s="69" t="s">
        <v>138</v>
      </c>
      <c r="B10" s="15">
        <v>131.87</v>
      </c>
      <c r="C10" s="16">
        <f t="shared" si="0"/>
        <v>15.499882023944767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228.86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10" customFormat="1" ht="21.75" customHeight="1">
      <c r="A1" s="6" t="s">
        <v>126</v>
      </c>
      <c r="B1" s="7">
        <v>41927</v>
      </c>
      <c r="C1" s="7"/>
      <c r="D1" s="8" t="s">
        <v>127</v>
      </c>
      <c r="E1" s="9">
        <v>53.39</v>
      </c>
      <c r="F1" s="10" t="s">
        <v>128</v>
      </c>
    </row>
    <row r="2" s="10" customFormat="1" ht="23.25" customHeight="1">
      <c r="A2" s="11" t="s">
        <v>236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8">
        <v>25.589999999999996</v>
      </c>
      <c r="C4" s="16">
        <f aca="true" t="shared" si="0" ref="C4:C10">B4/$B$11*$C$11</f>
        <v>2.820967205849767</v>
      </c>
      <c r="D4" s="16">
        <f aca="true" t="shared" si="1" ref="D4:D9">B4+C4</f>
        <v>28.410967205849765</v>
      </c>
      <c r="E4" s="17">
        <f aca="true" t="shared" si="2" ref="E4:E9">D4*$E$1</f>
        <v>1516.8615391203189</v>
      </c>
      <c r="F4" s="18">
        <f>1436+74</f>
        <v>1510</v>
      </c>
      <c r="G4" s="19">
        <f aca="true" t="shared" si="3" ref="G4:G9">F4-E4</f>
        <v>-6.8615391203188665</v>
      </c>
    </row>
    <row r="5" spans="1:7" s="10" customFormat="1" ht="15">
      <c r="A5" s="2" t="s">
        <v>217</v>
      </c>
      <c r="B5" s="18">
        <v>23.84</v>
      </c>
      <c r="C5" s="16">
        <f t="shared" si="0"/>
        <v>2.628052293374695</v>
      </c>
      <c r="D5" s="16">
        <f t="shared" si="1"/>
        <v>26.468052293374694</v>
      </c>
      <c r="E5" s="17">
        <f t="shared" si="2"/>
        <v>1413.1293119432748</v>
      </c>
      <c r="F5" s="18">
        <v>1391</v>
      </c>
      <c r="G5" s="19">
        <f t="shared" si="3"/>
        <v>-22.129311943274843</v>
      </c>
    </row>
    <row r="6" spans="1:7" s="10" customFormat="1" ht="15">
      <c r="A6" s="2" t="s">
        <v>98</v>
      </c>
      <c r="B6" s="18">
        <v>13.6</v>
      </c>
      <c r="C6" s="16">
        <f t="shared" si="0"/>
        <v>1.4992244626634168</v>
      </c>
      <c r="D6" s="16">
        <f t="shared" si="1"/>
        <v>15.099224462663416</v>
      </c>
      <c r="E6" s="17">
        <f t="shared" si="2"/>
        <v>806.1475940615998</v>
      </c>
      <c r="F6" s="18">
        <f>794+13</f>
        <v>807</v>
      </c>
      <c r="G6" s="19">
        <f>F6-E6</f>
        <v>0.8524059384002385</v>
      </c>
    </row>
    <row r="7" spans="1:8" s="10" customFormat="1" ht="15">
      <c r="A7" s="2" t="s">
        <v>237</v>
      </c>
      <c r="B7" s="18">
        <v>8.74</v>
      </c>
      <c r="C7" s="16">
        <f t="shared" si="0"/>
        <v>0.9634721914469311</v>
      </c>
      <c r="D7" s="16">
        <f t="shared" si="1"/>
        <v>9.70347219144693</v>
      </c>
      <c r="E7" s="17">
        <f t="shared" si="2"/>
        <v>518.0683803013517</v>
      </c>
      <c r="F7" s="18">
        <f>510+8</f>
        <v>518</v>
      </c>
      <c r="G7" s="19">
        <f t="shared" si="3"/>
        <v>-0.06838030135168083</v>
      </c>
      <c r="H7" s="48"/>
    </row>
    <row r="8" spans="1:8" s="10" customFormat="1" ht="15">
      <c r="A8" s="2" t="s">
        <v>116</v>
      </c>
      <c r="B8" s="18">
        <v>40.93</v>
      </c>
      <c r="C8" s="16">
        <f t="shared" si="0"/>
        <v>4.512004210059827</v>
      </c>
      <c r="D8" s="16">
        <f t="shared" si="1"/>
        <v>45.44200421005983</v>
      </c>
      <c r="E8" s="17">
        <f t="shared" si="2"/>
        <v>2426.148604775094</v>
      </c>
      <c r="F8" s="18">
        <f>2391+39</f>
        <v>2430</v>
      </c>
      <c r="G8" s="19">
        <f t="shared" si="3"/>
        <v>3.8513952249059002</v>
      </c>
      <c r="H8" s="65"/>
    </row>
    <row r="9" spans="1:7" s="10" customFormat="1" ht="15">
      <c r="A9" s="2" t="s">
        <v>37</v>
      </c>
      <c r="B9" s="18">
        <v>15.95</v>
      </c>
      <c r="C9" s="16">
        <f t="shared" si="0"/>
        <v>1.758281630844228</v>
      </c>
      <c r="D9" s="16">
        <f t="shared" si="1"/>
        <v>17.708281630844226</v>
      </c>
      <c r="E9" s="17">
        <f t="shared" si="2"/>
        <v>945.4451562707733</v>
      </c>
      <c r="F9" s="18">
        <f>931+15</f>
        <v>946</v>
      </c>
      <c r="G9" s="19">
        <f t="shared" si="3"/>
        <v>0.5548437292267181</v>
      </c>
    </row>
    <row r="10" spans="1:7" s="10" customFormat="1" ht="15">
      <c r="A10" s="69" t="s">
        <v>138</v>
      </c>
      <c r="B10" s="15">
        <v>51.87</v>
      </c>
      <c r="C10" s="16">
        <f t="shared" si="0"/>
        <v>5.717998005761134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180.51999999999998</v>
      </c>
      <c r="C11" s="24">
        <v>19.9</v>
      </c>
      <c r="D11" s="21"/>
      <c r="E11" s="22"/>
      <c r="F11" s="22"/>
      <c r="G11" s="22"/>
    </row>
    <row r="12" ht="15">
      <c r="C12" s="82"/>
    </row>
    <row r="13" ht="15">
      <c r="A13" s="77" t="s">
        <v>220</v>
      </c>
    </row>
    <row r="14" spans="1:7" s="74" customFormat="1" ht="31.5">
      <c r="A14" s="79" t="s">
        <v>217</v>
      </c>
      <c r="B14" s="79"/>
      <c r="C14" s="79"/>
      <c r="D14" s="79"/>
      <c r="E14" s="79"/>
      <c r="F14" s="79"/>
      <c r="G14" s="80"/>
    </row>
    <row r="15" ht="15">
      <c r="A15" s="81" t="s">
        <v>235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41938</v>
      </c>
      <c r="C1" s="7"/>
      <c r="D1" s="8" t="s">
        <v>127</v>
      </c>
      <c r="E1" s="83">
        <v>54.16</v>
      </c>
      <c r="F1" s="10" t="s">
        <v>128</v>
      </c>
    </row>
    <row r="2" s="10" customFormat="1" ht="23.25" customHeight="1">
      <c r="A2" s="11" t="s">
        <v>238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241</v>
      </c>
      <c r="B4" s="18">
        <v>8.59</v>
      </c>
      <c r="C4" s="16">
        <f>B4/$B$24*$C$24</f>
        <v>1.0498421253198325</v>
      </c>
      <c r="D4" s="16">
        <f>B4+C4</f>
        <v>9.639842125319833</v>
      </c>
      <c r="E4" s="17">
        <f>D4*$E$1</f>
        <v>522.0938495073221</v>
      </c>
      <c r="F4" s="18">
        <f>520+2</f>
        <v>522</v>
      </c>
      <c r="G4" s="19">
        <f aca="true" t="shared" si="0" ref="G4:G16">F4-E4</f>
        <v>-0.09384950732214747</v>
      </c>
    </row>
    <row r="5" spans="1:7" s="10" customFormat="1" ht="15">
      <c r="A5" s="2" t="s">
        <v>25</v>
      </c>
      <c r="B5" s="18">
        <v>24.12</v>
      </c>
      <c r="C5" s="16">
        <f>B5/$B$24*$C$24</f>
        <v>2.9478686918177366</v>
      </c>
      <c r="D5" s="16">
        <f>B5+C5</f>
        <v>27.067868691817736</v>
      </c>
      <c r="E5" s="17">
        <f>D5*$E$1</f>
        <v>1465.9957683488485</v>
      </c>
      <c r="F5" s="18">
        <v>1468</v>
      </c>
      <c r="G5" s="19">
        <f t="shared" si="0"/>
        <v>2.0042316511514855</v>
      </c>
    </row>
    <row r="6" spans="1:7" s="10" customFormat="1" ht="15">
      <c r="A6" s="2" t="s">
        <v>242</v>
      </c>
      <c r="B6" s="18">
        <v>9.67</v>
      </c>
      <c r="C6" s="16">
        <f>B6/$B$24*$C$24</f>
        <v>1.1818362458489846</v>
      </c>
      <c r="D6" s="16">
        <f>B6+C6</f>
        <v>10.851836245848984</v>
      </c>
      <c r="E6" s="17">
        <f>D6*$E$1</f>
        <v>587.735451075181</v>
      </c>
      <c r="F6" s="18">
        <v>586</v>
      </c>
      <c r="G6" s="19">
        <f t="shared" si="0"/>
        <v>-1.735451075181004</v>
      </c>
    </row>
    <row r="7" spans="1:8" s="10" customFormat="1" ht="15">
      <c r="A7" s="2" t="s">
        <v>243</v>
      </c>
      <c r="B7" s="18">
        <v>4.68</v>
      </c>
      <c r="C7" s="16">
        <f>B7/$B$24*$C$24</f>
        <v>0.5719745222929936</v>
      </c>
      <c r="D7" s="16">
        <f>B7+C7</f>
        <v>5.251974522292993</v>
      </c>
      <c r="E7" s="17">
        <f>D7*$E$1</f>
        <v>284.44694012738853</v>
      </c>
      <c r="F7" s="18">
        <v>283</v>
      </c>
      <c r="G7" s="19">
        <f t="shared" si="0"/>
        <v>-1.4469401273885296</v>
      </c>
      <c r="H7" s="48"/>
    </row>
    <row r="8" spans="1:8" s="10" customFormat="1" ht="15">
      <c r="A8" s="2" t="s">
        <v>92</v>
      </c>
      <c r="B8" s="18">
        <v>30.8</v>
      </c>
      <c r="C8" s="16">
        <f>B8/$B$24*$C$24</f>
        <v>3.7642767706461977</v>
      </c>
      <c r="D8" s="16">
        <f>B8+C8</f>
        <v>34.564276770646195</v>
      </c>
      <c r="E8" s="17">
        <f>D8*$E$1</f>
        <v>1872.0012298981978</v>
      </c>
      <c r="F8" s="18">
        <f>1800+72</f>
        <v>1872</v>
      </c>
      <c r="G8" s="19">
        <f t="shared" si="0"/>
        <v>-0.0012298981978347001</v>
      </c>
      <c r="H8" s="65"/>
    </row>
    <row r="9" spans="1:7" s="10" customFormat="1" ht="15">
      <c r="A9" s="3" t="s">
        <v>229</v>
      </c>
      <c r="B9" s="18">
        <v>12.66</v>
      </c>
      <c r="C9" s="16">
        <f aca="true" t="shared" si="1" ref="C9:C18">B9/$B$24*$C$24</f>
        <v>1.5472644128695083</v>
      </c>
      <c r="D9" s="16">
        <f aca="true" t="shared" si="2" ref="D9:D18">B9+C9</f>
        <v>14.207264412869508</v>
      </c>
      <c r="E9" s="17">
        <f aca="true" t="shared" si="3" ref="E9:E18">D9*$E$1</f>
        <v>769.4654406010125</v>
      </c>
      <c r="F9" s="18">
        <f>767+3</f>
        <v>770</v>
      </c>
      <c r="G9" s="19">
        <f t="shared" si="0"/>
        <v>0.5345593989875397</v>
      </c>
    </row>
    <row r="10" spans="1:7" s="10" customFormat="1" ht="15">
      <c r="A10" s="2" t="s">
        <v>116</v>
      </c>
      <c r="B10" s="18">
        <v>28</v>
      </c>
      <c r="C10" s="16">
        <f t="shared" si="1"/>
        <v>3.422069791496543</v>
      </c>
      <c r="D10" s="16">
        <f t="shared" si="2"/>
        <v>31.422069791496543</v>
      </c>
      <c r="E10" s="17">
        <f t="shared" si="3"/>
        <v>1701.8192999074527</v>
      </c>
      <c r="F10" s="86">
        <v>1695</v>
      </c>
      <c r="G10" s="19">
        <f t="shared" si="0"/>
        <v>-6.81929990745266</v>
      </c>
    </row>
    <row r="11" spans="1:8" s="10" customFormat="1" ht="15">
      <c r="A11" s="2" t="s">
        <v>66</v>
      </c>
      <c r="B11" s="18">
        <v>39.34</v>
      </c>
      <c r="C11" s="16">
        <f t="shared" si="1"/>
        <v>4.808008057052644</v>
      </c>
      <c r="D11" s="16">
        <f t="shared" si="2"/>
        <v>44.14800805705265</v>
      </c>
      <c r="E11" s="17">
        <f t="shared" si="3"/>
        <v>2391.0561163699713</v>
      </c>
      <c r="F11" s="18">
        <f>2390-11</f>
        <v>2379</v>
      </c>
      <c r="G11" s="19">
        <f t="shared" si="0"/>
        <v>-12.056116369971278</v>
      </c>
      <c r="H11" s="10" t="s">
        <v>259</v>
      </c>
    </row>
    <row r="12" spans="1:8" s="10" customFormat="1" ht="15">
      <c r="A12" s="2" t="s">
        <v>244</v>
      </c>
      <c r="B12" s="18">
        <v>27.93</v>
      </c>
      <c r="C12" s="16">
        <f t="shared" si="1"/>
        <v>3.413514617017802</v>
      </c>
      <c r="D12" s="16">
        <f t="shared" si="2"/>
        <v>31.343514617017803</v>
      </c>
      <c r="E12" s="17">
        <f t="shared" si="3"/>
        <v>1697.5647516576842</v>
      </c>
      <c r="F12" s="18">
        <v>1691</v>
      </c>
      <c r="G12" s="19">
        <f t="shared" si="0"/>
        <v>-6.564751657684155</v>
      </c>
      <c r="H12" s="48"/>
    </row>
    <row r="13" spans="1:8" s="10" customFormat="1" ht="15">
      <c r="A13" s="2" t="s">
        <v>245</v>
      </c>
      <c r="B13" s="18">
        <v>1.91</v>
      </c>
      <c r="C13" s="16">
        <f t="shared" si="1"/>
        <v>0.23343404649137134</v>
      </c>
      <c r="D13" s="16">
        <f t="shared" si="2"/>
        <v>2.1434340464913713</v>
      </c>
      <c r="E13" s="17">
        <f t="shared" si="3"/>
        <v>116.08838795797266</v>
      </c>
      <c r="F13" s="18">
        <v>126</v>
      </c>
      <c r="G13" s="19">
        <f t="shared" si="0"/>
        <v>9.911612042027343</v>
      </c>
      <c r="H13" s="65"/>
    </row>
    <row r="14" spans="1:7" s="10" customFormat="1" ht="15">
      <c r="A14" s="3" t="s">
        <v>246</v>
      </c>
      <c r="B14" s="18">
        <v>9.99</v>
      </c>
      <c r="C14" s="16">
        <f t="shared" si="1"/>
        <v>1.2209456148946594</v>
      </c>
      <c r="D14" s="16">
        <f t="shared" si="2"/>
        <v>11.21094561489466</v>
      </c>
      <c r="E14" s="17">
        <f t="shared" si="3"/>
        <v>607.1848145026947</v>
      </c>
      <c r="F14" s="18">
        <v>605</v>
      </c>
      <c r="G14" s="19">
        <f t="shared" si="0"/>
        <v>-2.184814502694735</v>
      </c>
    </row>
    <row r="15" spans="1:7" s="10" customFormat="1" ht="15">
      <c r="A15" s="2" t="s">
        <v>247</v>
      </c>
      <c r="B15" s="18">
        <v>10.64</v>
      </c>
      <c r="C15" s="16">
        <f t="shared" si="1"/>
        <v>1.3003865207686864</v>
      </c>
      <c r="D15" s="16">
        <f t="shared" si="2"/>
        <v>11.940386520768687</v>
      </c>
      <c r="E15" s="17">
        <f t="shared" si="3"/>
        <v>646.6913339648321</v>
      </c>
      <c r="F15" s="18">
        <f>644+3</f>
        <v>647</v>
      </c>
      <c r="G15" s="19">
        <f t="shared" si="0"/>
        <v>0.3086660351679029</v>
      </c>
    </row>
    <row r="16" spans="1:7" s="10" customFormat="1" ht="15">
      <c r="A16" s="2" t="s">
        <v>248</v>
      </c>
      <c r="B16" s="18">
        <v>1.91</v>
      </c>
      <c r="C16" s="16">
        <f t="shared" si="1"/>
        <v>0.23343404649137134</v>
      </c>
      <c r="D16" s="16">
        <f t="shared" si="2"/>
        <v>2.1434340464913713</v>
      </c>
      <c r="E16" s="17">
        <f t="shared" si="3"/>
        <v>116.08838795797266</v>
      </c>
      <c r="F16" s="18">
        <v>116</v>
      </c>
      <c r="G16" s="19">
        <f t="shared" si="0"/>
        <v>-0.08838795797265675</v>
      </c>
    </row>
    <row r="17" spans="1:8" s="10" customFormat="1" ht="15">
      <c r="A17" s="2" t="s">
        <v>86</v>
      </c>
      <c r="B17" s="18">
        <v>11.98</v>
      </c>
      <c r="C17" s="16">
        <f t="shared" si="1"/>
        <v>1.4641570036474496</v>
      </c>
      <c r="D17" s="16">
        <f t="shared" si="2"/>
        <v>13.444157003647451</v>
      </c>
      <c r="E17" s="17">
        <f t="shared" si="3"/>
        <v>728.1355433175459</v>
      </c>
      <c r="F17" s="18">
        <v>710</v>
      </c>
      <c r="G17" s="19">
        <f aca="true" t="shared" si="4" ref="G17:G23">F17-E17</f>
        <v>-18.135543317545853</v>
      </c>
      <c r="H17" s="48"/>
    </row>
    <row r="18" spans="1:8" s="10" customFormat="1" ht="15">
      <c r="A18" s="2" t="s">
        <v>87</v>
      </c>
      <c r="B18" s="18">
        <v>6.97</v>
      </c>
      <c r="C18" s="16">
        <f t="shared" si="1"/>
        <v>0.8518509445261038</v>
      </c>
      <c r="D18" s="16">
        <f t="shared" si="2"/>
        <v>7.821850944526103</v>
      </c>
      <c r="E18" s="17">
        <f t="shared" si="3"/>
        <v>423.6314471555337</v>
      </c>
      <c r="F18" s="86">
        <f>422+2</f>
        <v>424</v>
      </c>
      <c r="G18" s="19">
        <f t="shared" si="4"/>
        <v>0.36855284446630776</v>
      </c>
      <c r="H18" s="65"/>
    </row>
    <row r="19" spans="1:7" s="10" customFormat="1" ht="15">
      <c r="A19" s="3" t="s">
        <v>192</v>
      </c>
      <c r="B19" s="18">
        <v>31.62</v>
      </c>
      <c r="C19" s="16">
        <f>B19/$B$24*$C$24</f>
        <v>3.8644945288257393</v>
      </c>
      <c r="D19" s="16">
        <f>B19+C19</f>
        <v>35.48449452882574</v>
      </c>
      <c r="E19" s="17">
        <f>D19*$E$1</f>
        <v>1921.8402236812021</v>
      </c>
      <c r="F19" s="18">
        <f>1870+7</f>
        <v>1877</v>
      </c>
      <c r="G19" s="19">
        <f t="shared" si="4"/>
        <v>-44.84022368120213</v>
      </c>
    </row>
    <row r="20" spans="1:7" s="10" customFormat="1" ht="15">
      <c r="A20" s="2" t="s">
        <v>249</v>
      </c>
      <c r="B20" s="18">
        <v>12.1</v>
      </c>
      <c r="C20" s="16">
        <f>B20/$B$24*$C$24</f>
        <v>1.4788230170395775</v>
      </c>
      <c r="D20" s="16">
        <f>B20+C20</f>
        <v>13.578823017039577</v>
      </c>
      <c r="E20" s="17">
        <f>D20*$E$1</f>
        <v>735.4290546028634</v>
      </c>
      <c r="F20" s="18">
        <f>733+2</f>
        <v>735</v>
      </c>
      <c r="G20" s="19">
        <f t="shared" si="4"/>
        <v>-0.4290546028634026</v>
      </c>
    </row>
    <row r="21" spans="1:7" s="10" customFormat="1" ht="15">
      <c r="A21" s="2" t="s">
        <v>55</v>
      </c>
      <c r="B21" s="18">
        <v>28.87</v>
      </c>
      <c r="C21" s="16">
        <f>B21/$B$24*$C$24</f>
        <v>3.528398388589472</v>
      </c>
      <c r="D21" s="16">
        <f>B21+C21</f>
        <v>32.39839838858947</v>
      </c>
      <c r="E21" s="17">
        <f>D21*$E$1</f>
        <v>1754.6972567260057</v>
      </c>
      <c r="F21" s="18">
        <f>1748+7</f>
        <v>1755</v>
      </c>
      <c r="G21" s="19">
        <f t="shared" si="4"/>
        <v>0.30274327399433787</v>
      </c>
    </row>
    <row r="22" spans="1:8" s="10" customFormat="1" ht="15">
      <c r="A22" s="2" t="s">
        <v>38</v>
      </c>
      <c r="B22" s="18">
        <v>12.88</v>
      </c>
      <c r="C22" s="16">
        <f>B22/$B$24*$C$24</f>
        <v>1.57415210408841</v>
      </c>
      <c r="D22" s="16">
        <f>B22+C22</f>
        <v>14.454152104088411</v>
      </c>
      <c r="E22" s="17">
        <f>D22*$E$1</f>
        <v>782.8368779574283</v>
      </c>
      <c r="F22" s="18">
        <f>780+3</f>
        <v>783</v>
      </c>
      <c r="G22" s="19">
        <f t="shared" si="4"/>
        <v>0.16312204257167195</v>
      </c>
      <c r="H22" s="48"/>
    </row>
    <row r="23" spans="1:8" s="10" customFormat="1" ht="15">
      <c r="A23" s="2" t="s">
        <v>217</v>
      </c>
      <c r="B23" s="18">
        <v>52.72</v>
      </c>
      <c r="C23" s="16">
        <f>B23/$B$24*$C$24</f>
        <v>6.44326855027492</v>
      </c>
      <c r="D23" s="16">
        <f>B23+C23</f>
        <v>59.16326855027492</v>
      </c>
      <c r="E23" s="17">
        <f>D23*$E$1</f>
        <v>3204.2826246828895</v>
      </c>
      <c r="F23" s="18">
        <v>3225</v>
      </c>
      <c r="G23" s="19">
        <f t="shared" si="4"/>
        <v>20.71737531711051</v>
      </c>
      <c r="H23" s="65"/>
    </row>
    <row r="24" spans="1:7" s="10" customFormat="1" ht="15">
      <c r="A24" s="23"/>
      <c r="B24" s="24">
        <f>SUM(B4:B23)</f>
        <v>367.38</v>
      </c>
      <c r="C24" s="24">
        <v>44.9</v>
      </c>
      <c r="D24" s="21"/>
      <c r="E24" s="22"/>
      <c r="F24" s="22"/>
      <c r="G24" s="22"/>
    </row>
    <row r="25" ht="15">
      <c r="C25" s="82"/>
    </row>
    <row r="26" ht="15">
      <c r="A26" s="77" t="s">
        <v>220</v>
      </c>
    </row>
    <row r="27" spans="1:7" s="74" customFormat="1" ht="31.5">
      <c r="A27" s="84" t="s">
        <v>229</v>
      </c>
      <c r="B27" s="79"/>
      <c r="C27" s="79"/>
      <c r="D27" s="79"/>
      <c r="E27" s="79"/>
      <c r="F27" s="79"/>
      <c r="G27" s="80"/>
    </row>
    <row r="28" ht="15">
      <c r="A28" s="81" t="s">
        <v>239</v>
      </c>
    </row>
    <row r="29" spans="1:7" ht="31.5">
      <c r="A29" s="85" t="s">
        <v>38</v>
      </c>
      <c r="B29" s="79"/>
      <c r="C29" s="79"/>
      <c r="D29" s="79"/>
      <c r="E29" s="79"/>
      <c r="F29" s="79"/>
      <c r="G29" s="80"/>
    </row>
    <row r="30" ht="15">
      <c r="A30" s="81" t="s">
        <v>240</v>
      </c>
    </row>
    <row r="33" ht="33.75">
      <c r="A33" s="78" t="s">
        <v>219</v>
      </c>
    </row>
    <row r="34" ht="33.75">
      <c r="A34" s="78" t="s">
        <v>250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41956</v>
      </c>
      <c r="C1" s="7"/>
      <c r="D1" s="8" t="s">
        <v>127</v>
      </c>
      <c r="E1" s="83">
        <v>60.48</v>
      </c>
      <c r="F1" s="10" t="s">
        <v>128</v>
      </c>
    </row>
    <row r="2" s="10" customFormat="1" ht="23.25" customHeight="1">
      <c r="A2" s="11" t="s">
        <v>265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260</v>
      </c>
      <c r="B4" s="18">
        <v>11.18</v>
      </c>
      <c r="C4" s="16">
        <f aca="true" t="shared" si="0" ref="C4:C14">B4/$B$15*$C$15</f>
        <v>1.1697471800855697</v>
      </c>
      <c r="D4" s="16">
        <f aca="true" t="shared" si="1" ref="D4:D13">B4+C4</f>
        <v>12.349747180085568</v>
      </c>
      <c r="E4" s="17">
        <f aca="true" t="shared" si="2" ref="E4:E13">D4*$E$1</f>
        <v>746.9127094515751</v>
      </c>
      <c r="F4" s="18">
        <f>716+31</f>
        <v>747</v>
      </c>
      <c r="G4" s="19">
        <f aca="true" t="shared" si="3" ref="G4:G13">F4-E4</f>
        <v>0.08729054842490314</v>
      </c>
    </row>
    <row r="5" spans="1:7" s="10" customFormat="1" ht="15">
      <c r="A5" s="3" t="s">
        <v>262</v>
      </c>
      <c r="B5" s="18">
        <v>11.59</v>
      </c>
      <c r="C5" s="16">
        <f t="shared" si="0"/>
        <v>1.212644885258654</v>
      </c>
      <c r="D5" s="16">
        <f t="shared" si="1"/>
        <v>12.802644885258655</v>
      </c>
      <c r="E5" s="17">
        <f t="shared" si="2"/>
        <v>774.3039626604434</v>
      </c>
      <c r="F5" s="18">
        <f>750+24</f>
        <v>774</v>
      </c>
      <c r="G5" s="19">
        <f t="shared" si="3"/>
        <v>-0.30396266044340337</v>
      </c>
    </row>
    <row r="6" spans="1:7" s="10" customFormat="1" ht="15">
      <c r="A6" s="2" t="s">
        <v>237</v>
      </c>
      <c r="B6" s="18">
        <v>3.32</v>
      </c>
      <c r="C6" s="16">
        <f t="shared" si="0"/>
        <v>0.347366783352781</v>
      </c>
      <c r="D6" s="16">
        <f t="shared" si="1"/>
        <v>3.6673667833527808</v>
      </c>
      <c r="E6" s="17">
        <f t="shared" si="2"/>
        <v>221.80234305717616</v>
      </c>
      <c r="F6" s="18">
        <f>215+7</f>
        <v>222</v>
      </c>
      <c r="G6" s="19">
        <f t="shared" si="3"/>
        <v>0.1976569428238406</v>
      </c>
    </row>
    <row r="7" spans="1:7" s="10" customFormat="1" ht="15">
      <c r="A7" s="2" t="s">
        <v>263</v>
      </c>
      <c r="B7" s="18">
        <v>14.85</v>
      </c>
      <c r="C7" s="16">
        <f t="shared" si="0"/>
        <v>1.5537339556592764</v>
      </c>
      <c r="D7" s="16">
        <f t="shared" si="1"/>
        <v>16.403733955659277</v>
      </c>
      <c r="E7" s="17">
        <f t="shared" si="2"/>
        <v>992.097829638273</v>
      </c>
      <c r="F7" s="18">
        <f>951+41</f>
        <v>992</v>
      </c>
      <c r="G7" s="19">
        <f t="shared" si="3"/>
        <v>-0.09782963827296953</v>
      </c>
    </row>
    <row r="8" spans="1:8" s="10" customFormat="1" ht="15">
      <c r="A8" s="2" t="s">
        <v>242</v>
      </c>
      <c r="B8" s="18">
        <v>8.48</v>
      </c>
      <c r="C8" s="16">
        <f t="shared" si="0"/>
        <v>0.8872500972384285</v>
      </c>
      <c r="D8" s="16">
        <f t="shared" si="1"/>
        <v>9.36725009723843</v>
      </c>
      <c r="E8" s="17">
        <f t="shared" si="2"/>
        <v>566.5312858809801</v>
      </c>
      <c r="F8" s="18">
        <f>543+25</f>
        <v>568</v>
      </c>
      <c r="G8" s="19">
        <f t="shared" si="3"/>
        <v>1.4687141190198645</v>
      </c>
      <c r="H8" s="48"/>
    </row>
    <row r="9" spans="1:8" s="10" customFormat="1" ht="15">
      <c r="A9" s="2" t="s">
        <v>73</v>
      </c>
      <c r="B9" s="18">
        <v>8.04</v>
      </c>
      <c r="C9" s="16">
        <f t="shared" si="0"/>
        <v>0.8412135355892647</v>
      </c>
      <c r="D9" s="16">
        <f t="shared" si="1"/>
        <v>8.881213535589264</v>
      </c>
      <c r="E9" s="17">
        <f t="shared" si="2"/>
        <v>537.1357946324387</v>
      </c>
      <c r="F9" s="18">
        <f>515+26</f>
        <v>541</v>
      </c>
      <c r="G9" s="19">
        <f t="shared" si="3"/>
        <v>3.8642053675613397</v>
      </c>
      <c r="H9" s="65"/>
    </row>
    <row r="10" spans="1:7" s="10" customFormat="1" ht="15">
      <c r="A10" s="3" t="s">
        <v>64</v>
      </c>
      <c r="B10" s="18">
        <v>6.86</v>
      </c>
      <c r="C10" s="16">
        <f t="shared" si="0"/>
        <v>0.7177518475301439</v>
      </c>
      <c r="D10" s="16">
        <f t="shared" si="1"/>
        <v>7.577751847530144</v>
      </c>
      <c r="E10" s="17">
        <f t="shared" si="2"/>
        <v>458.30243173862306</v>
      </c>
      <c r="F10" s="18">
        <f>439+20</f>
        <v>459</v>
      </c>
      <c r="G10" s="19">
        <f t="shared" si="3"/>
        <v>0.6975682613769436</v>
      </c>
    </row>
    <row r="11" spans="1:7" s="10" customFormat="1" ht="15">
      <c r="A11" s="2" t="s">
        <v>37</v>
      </c>
      <c r="B11" s="18">
        <v>24.62</v>
      </c>
      <c r="C11" s="16">
        <f t="shared" si="0"/>
        <v>2.575954881369117</v>
      </c>
      <c r="D11" s="16">
        <f t="shared" si="1"/>
        <v>27.19595488136912</v>
      </c>
      <c r="E11" s="17">
        <f t="shared" si="2"/>
        <v>1644.8113512252041</v>
      </c>
      <c r="F11" s="86">
        <f>1577+68</f>
        <v>1645</v>
      </c>
      <c r="G11" s="19">
        <f t="shared" si="3"/>
        <v>0.1886487747958654</v>
      </c>
    </row>
    <row r="12" spans="1:7" s="10" customFormat="1" ht="15">
      <c r="A12" s="2" t="s">
        <v>96</v>
      </c>
      <c r="B12" s="18">
        <v>52.72</v>
      </c>
      <c r="C12" s="16">
        <f t="shared" si="0"/>
        <v>5.5160171139634375</v>
      </c>
      <c r="D12" s="16">
        <f t="shared" si="1"/>
        <v>58.236017113963435</v>
      </c>
      <c r="E12" s="17">
        <f t="shared" si="2"/>
        <v>3522.114315052508</v>
      </c>
      <c r="F12" s="18">
        <f>3389+140</f>
        <v>3529</v>
      </c>
      <c r="G12" s="19">
        <f t="shared" si="3"/>
        <v>6.885684947491882</v>
      </c>
    </row>
    <row r="13" spans="1:8" s="10" customFormat="1" ht="15">
      <c r="A13" s="2" t="s">
        <v>264</v>
      </c>
      <c r="B13" s="18">
        <v>9.12</v>
      </c>
      <c r="C13" s="16">
        <f t="shared" si="0"/>
        <v>0.9542123687281212</v>
      </c>
      <c r="D13" s="16">
        <f t="shared" si="1"/>
        <v>10.074212368728121</v>
      </c>
      <c r="E13" s="17">
        <f t="shared" si="2"/>
        <v>609.2883640606767</v>
      </c>
      <c r="F13" s="18">
        <f>584+25</f>
        <v>609</v>
      </c>
      <c r="G13" s="19">
        <f t="shared" si="3"/>
        <v>-0.28836406067671305</v>
      </c>
      <c r="H13" s="48"/>
    </row>
    <row r="14" spans="1:8" s="10" customFormat="1" ht="15">
      <c r="A14" s="2" t="s">
        <v>138</v>
      </c>
      <c r="B14" s="18">
        <v>117.5</v>
      </c>
      <c r="C14" s="16">
        <f t="shared" si="0"/>
        <v>12.293854531310773</v>
      </c>
      <c r="D14" s="21"/>
      <c r="E14" s="22"/>
      <c r="F14" s="22"/>
      <c r="G14" s="22"/>
      <c r="H14" s="65"/>
    </row>
    <row r="15" spans="1:7" s="10" customFormat="1" ht="15">
      <c r="A15" s="23"/>
      <c r="B15" s="24">
        <f>SUM(B5:B14)</f>
        <v>257.1</v>
      </c>
      <c r="C15" s="24">
        <v>26.9</v>
      </c>
      <c r="D15" s="21"/>
      <c r="E15" s="22"/>
      <c r="F15" s="22"/>
      <c r="G15" s="22"/>
    </row>
    <row r="16" ht="15">
      <c r="C16" s="82"/>
    </row>
    <row r="17" ht="15">
      <c r="A17" s="77" t="s">
        <v>220</v>
      </c>
    </row>
    <row r="18" spans="1:7" s="74" customFormat="1" ht="31.5">
      <c r="A18" s="87" t="s">
        <v>260</v>
      </c>
      <c r="B18" s="85"/>
      <c r="C18" s="85"/>
      <c r="D18" s="85"/>
      <c r="E18" s="85"/>
      <c r="F18" s="85"/>
      <c r="G18" s="80"/>
    </row>
    <row r="19" ht="15">
      <c r="A19" s="81" t="s">
        <v>261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10" customFormat="1" ht="21.75" customHeight="1">
      <c r="A1" s="6" t="s">
        <v>126</v>
      </c>
      <c r="B1" s="7">
        <v>41971</v>
      </c>
      <c r="C1" s="7"/>
      <c r="D1" s="8" t="s">
        <v>127</v>
      </c>
      <c r="E1" s="83">
        <v>64.58</v>
      </c>
      <c r="F1" s="10" t="s">
        <v>128</v>
      </c>
    </row>
    <row r="2" s="10" customFormat="1" ht="23.25" customHeight="1">
      <c r="A2" s="11" t="s">
        <v>266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267</v>
      </c>
      <c r="B4" s="18">
        <v>28.68</v>
      </c>
      <c r="C4" s="16">
        <f aca="true" t="shared" si="0" ref="C4:C12">B4/$B$13*$C$13</f>
        <v>3.4941422886266844</v>
      </c>
      <c r="D4" s="16">
        <f aca="true" t="shared" si="1" ref="D4:D11">B4+C4</f>
        <v>32.17414228862668</v>
      </c>
      <c r="E4" s="17">
        <f aca="true" t="shared" si="2" ref="E4:E11">D4*$E$1</f>
        <v>2077.8061089995113</v>
      </c>
      <c r="F4" s="18">
        <f>1937+141</f>
        <v>2078</v>
      </c>
      <c r="G4" s="19">
        <f aca="true" t="shared" si="3" ref="G4:G11">F4-E4</f>
        <v>0.19389100048874752</v>
      </c>
    </row>
    <row r="5" spans="1:7" s="10" customFormat="1" ht="15">
      <c r="A5" s="3" t="s">
        <v>218</v>
      </c>
      <c r="B5" s="18">
        <v>34.35</v>
      </c>
      <c r="C5" s="16">
        <f t="shared" si="0"/>
        <v>4.1849298331355165</v>
      </c>
      <c r="D5" s="16">
        <f t="shared" si="1"/>
        <v>38.53492983313552</v>
      </c>
      <c r="E5" s="17">
        <f t="shared" si="2"/>
        <v>2488.585768623892</v>
      </c>
      <c r="F5" s="18">
        <f>2320+169</f>
        <v>2489</v>
      </c>
      <c r="G5" s="19">
        <f t="shared" si="3"/>
        <v>0.41423137610809135</v>
      </c>
    </row>
    <row r="6" spans="1:7" s="10" customFormat="1" ht="15">
      <c r="A6" s="2" t="s">
        <v>96</v>
      </c>
      <c r="B6" s="18">
        <v>28.75</v>
      </c>
      <c r="C6" s="16">
        <f t="shared" si="0"/>
        <v>3.5026705299169167</v>
      </c>
      <c r="D6" s="16">
        <f t="shared" si="1"/>
        <v>32.25267052991692</v>
      </c>
      <c r="E6" s="17">
        <f t="shared" si="2"/>
        <v>2082.8774628220344</v>
      </c>
      <c r="F6" s="18">
        <v>2087</v>
      </c>
      <c r="G6" s="19">
        <f t="shared" si="3"/>
        <v>4.122537177965569</v>
      </c>
    </row>
    <row r="7" spans="1:7" s="10" customFormat="1" ht="15">
      <c r="A7" s="2" t="s">
        <v>268</v>
      </c>
      <c r="B7" s="18">
        <v>72.97</v>
      </c>
      <c r="C7" s="16">
        <f t="shared" si="0"/>
        <v>8.890082384975216</v>
      </c>
      <c r="D7" s="16">
        <f t="shared" si="1"/>
        <v>81.86008238497521</v>
      </c>
      <c r="E7" s="17">
        <f t="shared" si="2"/>
        <v>5286.524120421699</v>
      </c>
      <c r="F7" s="18">
        <f>4929+358</f>
        <v>5287</v>
      </c>
      <c r="G7" s="19">
        <f t="shared" si="3"/>
        <v>0.4758795783009191</v>
      </c>
    </row>
    <row r="8" spans="1:8" s="10" customFormat="1" ht="15">
      <c r="A8" s="2" t="s">
        <v>269</v>
      </c>
      <c r="B8" s="18">
        <v>34.85</v>
      </c>
      <c r="C8" s="16">
        <f t="shared" si="0"/>
        <v>4.245845842351463</v>
      </c>
      <c r="D8" s="16">
        <f t="shared" si="1"/>
        <v>39.095845842351466</v>
      </c>
      <c r="E8" s="17">
        <f t="shared" si="2"/>
        <v>2524.8097244990577</v>
      </c>
      <c r="F8" s="18">
        <f>2354+171</f>
        <v>2525</v>
      </c>
      <c r="G8" s="19">
        <f t="shared" si="3"/>
        <v>0.19027550094233447</v>
      </c>
      <c r="H8" s="48"/>
    </row>
    <row r="9" spans="1:8" s="10" customFormat="1" ht="15">
      <c r="A9" s="2" t="s">
        <v>270</v>
      </c>
      <c r="B9" s="18">
        <v>22</v>
      </c>
      <c r="C9" s="16">
        <f t="shared" si="0"/>
        <v>2.6803044055016407</v>
      </c>
      <c r="D9" s="16">
        <f t="shared" si="1"/>
        <v>24.68030440550164</v>
      </c>
      <c r="E9" s="17">
        <f t="shared" si="2"/>
        <v>1593.8540585072958</v>
      </c>
      <c r="F9" s="18">
        <f>1486+108</f>
        <v>1594</v>
      </c>
      <c r="G9" s="19">
        <f t="shared" si="3"/>
        <v>0.1459414927041962</v>
      </c>
      <c r="H9" s="65"/>
    </row>
    <row r="10" spans="1:7" s="10" customFormat="1" ht="15">
      <c r="A10" s="3" t="s">
        <v>271</v>
      </c>
      <c r="B10" s="18">
        <v>33.12</v>
      </c>
      <c r="C10" s="16">
        <f t="shared" si="0"/>
        <v>4.035076450464288</v>
      </c>
      <c r="D10" s="16">
        <f t="shared" si="1"/>
        <v>37.155076450464286</v>
      </c>
      <c r="E10" s="17">
        <f t="shared" si="2"/>
        <v>2399.4748371709834</v>
      </c>
      <c r="F10" s="18">
        <f>2237+162</f>
        <v>2399</v>
      </c>
      <c r="G10" s="19">
        <f t="shared" si="3"/>
        <v>-0.47483717098339184</v>
      </c>
    </row>
    <row r="11" spans="1:7" s="10" customFormat="1" ht="15">
      <c r="A11" s="2" t="s">
        <v>215</v>
      </c>
      <c r="B11" s="18">
        <v>11.1</v>
      </c>
      <c r="C11" s="16">
        <f t="shared" si="0"/>
        <v>1.3523354045940095</v>
      </c>
      <c r="D11" s="16">
        <f t="shared" si="1"/>
        <v>12.45233540459401</v>
      </c>
      <c r="E11" s="17">
        <f t="shared" si="2"/>
        <v>804.1718204286811</v>
      </c>
      <c r="F11" s="86">
        <f>750+54</f>
        <v>804</v>
      </c>
      <c r="G11" s="19">
        <f t="shared" si="3"/>
        <v>-0.17182042868114422</v>
      </c>
    </row>
    <row r="12" spans="1:8" s="10" customFormat="1" ht="15">
      <c r="A12" s="2" t="s">
        <v>138</v>
      </c>
      <c r="B12" s="18">
        <v>49.32</v>
      </c>
      <c r="C12" s="16">
        <f t="shared" si="0"/>
        <v>6.008755149060951</v>
      </c>
      <c r="D12" s="21"/>
      <c r="E12" s="22"/>
      <c r="F12" s="22"/>
      <c r="G12" s="22"/>
      <c r="H12" s="65"/>
    </row>
    <row r="13" spans="1:7" s="10" customFormat="1" ht="15">
      <c r="A13" s="23"/>
      <c r="B13" s="24">
        <f>SUM(B5:B12)</f>
        <v>286.46</v>
      </c>
      <c r="C13" s="24">
        <v>34.9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87" t="s">
        <v>96</v>
      </c>
      <c r="B16" s="87"/>
      <c r="C16" s="87"/>
      <c r="D16" s="87"/>
      <c r="E16" s="87"/>
      <c r="F16" s="87"/>
      <c r="G16" s="80"/>
    </row>
    <row r="17" ht="15">
      <c r="A17" s="81" t="s">
        <v>272</v>
      </c>
    </row>
    <row r="18" spans="1:7" ht="31.5">
      <c r="A18" s="87" t="s">
        <v>268</v>
      </c>
      <c r="B18" s="87"/>
      <c r="C18" s="87"/>
      <c r="D18" s="87"/>
      <c r="E18" s="87"/>
      <c r="F18" s="87"/>
      <c r="G18" s="80"/>
    </row>
    <row r="19" ht="15">
      <c r="A19" s="81" t="s">
        <v>273</v>
      </c>
    </row>
    <row r="20" spans="1:7" ht="31.5">
      <c r="A20" s="87" t="s">
        <v>270</v>
      </c>
      <c r="B20" s="87"/>
      <c r="C20" s="87"/>
      <c r="D20" s="87"/>
      <c r="E20" s="87"/>
      <c r="F20" s="87"/>
      <c r="G20" s="80"/>
    </row>
    <row r="21" ht="15">
      <c r="A21" s="81" t="s">
        <v>274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10" customFormat="1" ht="21.75" customHeight="1">
      <c r="A1" s="6" t="s">
        <v>126</v>
      </c>
      <c r="B1" s="7">
        <v>41986</v>
      </c>
      <c r="C1" s="7"/>
      <c r="D1" s="8" t="s">
        <v>127</v>
      </c>
      <c r="E1" s="83">
        <v>72.243</v>
      </c>
      <c r="F1" s="10" t="s">
        <v>128</v>
      </c>
    </row>
    <row r="2" s="10" customFormat="1" ht="23.25" customHeight="1">
      <c r="A2" s="11" t="s">
        <v>278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37</v>
      </c>
      <c r="B4" s="18">
        <v>31.6</v>
      </c>
      <c r="C4" s="16">
        <f aca="true" t="shared" si="0" ref="C4:C10">B4/$B$11*$C$11</f>
        <v>3.147713386409925</v>
      </c>
      <c r="D4" s="16">
        <f aca="true" t="shared" si="1" ref="D4:D9">B4+C4</f>
        <v>34.74771338640993</v>
      </c>
      <c r="E4" s="17">
        <f aca="true" t="shared" si="2" ref="E4:E9">D4*$E$1</f>
        <v>2510.279058174412</v>
      </c>
      <c r="F4" s="18">
        <f>2450+60</f>
        <v>2510</v>
      </c>
      <c r="G4" s="19">
        <f aca="true" t="shared" si="3" ref="G4:G9">F4-E4</f>
        <v>-0.27905817441205727</v>
      </c>
    </row>
    <row r="5" spans="1:7" s="10" customFormat="1" ht="15">
      <c r="A5" s="3" t="s">
        <v>96</v>
      </c>
      <c r="B5" s="18">
        <v>106.31</v>
      </c>
      <c r="C5" s="16">
        <f t="shared" si="0"/>
        <v>10.589664876874654</v>
      </c>
      <c r="D5" s="16">
        <f t="shared" si="1"/>
        <v>116.89966487687465</v>
      </c>
      <c r="E5" s="17">
        <f t="shared" si="2"/>
        <v>8445.182489700055</v>
      </c>
      <c r="F5" s="18">
        <f>8245+200</f>
        <v>8445</v>
      </c>
      <c r="G5" s="19">
        <f t="shared" si="3"/>
        <v>-0.1824897000551573</v>
      </c>
    </row>
    <row r="6" spans="1:7" s="10" customFormat="1" ht="15">
      <c r="A6" s="2" t="s">
        <v>86</v>
      </c>
      <c r="B6" s="18">
        <v>14.49</v>
      </c>
      <c r="C6" s="16">
        <f t="shared" si="0"/>
        <v>1.4433660433253104</v>
      </c>
      <c r="D6" s="16">
        <f t="shared" si="1"/>
        <v>15.93336604332531</v>
      </c>
      <c r="E6" s="17">
        <f t="shared" si="2"/>
        <v>1151.0741630679504</v>
      </c>
      <c r="F6" s="18">
        <v>1124</v>
      </c>
      <c r="G6" s="19">
        <f t="shared" si="3"/>
        <v>-27.074163067950394</v>
      </c>
    </row>
    <row r="7" spans="1:7" s="10" customFormat="1" ht="15">
      <c r="A7" s="2" t="s">
        <v>87</v>
      </c>
      <c r="B7" s="18">
        <v>40.72</v>
      </c>
      <c r="C7" s="16">
        <f t="shared" si="0"/>
        <v>4.056167376411776</v>
      </c>
      <c r="D7" s="16">
        <f t="shared" si="1"/>
        <v>44.77616737641178</v>
      </c>
      <c r="E7" s="17">
        <f t="shared" si="2"/>
        <v>3234.764659774116</v>
      </c>
      <c r="F7" s="18">
        <f>3158+55</f>
        <v>3213</v>
      </c>
      <c r="G7" s="19">
        <f t="shared" si="3"/>
        <v>-21.7646597741159</v>
      </c>
    </row>
    <row r="8" spans="1:8" s="10" customFormat="1" ht="15">
      <c r="A8" s="2" t="s">
        <v>119</v>
      </c>
      <c r="B8" s="18">
        <v>68.91</v>
      </c>
      <c r="C8" s="16">
        <f t="shared" si="0"/>
        <v>6.8642066284021475</v>
      </c>
      <c r="D8" s="16">
        <f t="shared" si="1"/>
        <v>75.77420662840214</v>
      </c>
      <c r="E8" s="17">
        <f t="shared" si="2"/>
        <v>5474.156009455655</v>
      </c>
      <c r="F8" s="18">
        <f>5345+129</f>
        <v>5474</v>
      </c>
      <c r="G8" s="19">
        <f t="shared" si="3"/>
        <v>-0.156009455655294</v>
      </c>
      <c r="H8" s="48"/>
    </row>
    <row r="9" spans="1:8" s="10" customFormat="1" ht="15">
      <c r="A9" s="2" t="s">
        <v>279</v>
      </c>
      <c r="B9" s="18">
        <v>9.48</v>
      </c>
      <c r="C9" s="16">
        <f t="shared" si="0"/>
        <v>0.9443140159229773</v>
      </c>
      <c r="D9" s="16">
        <f t="shared" si="1"/>
        <v>10.424314015922977</v>
      </c>
      <c r="E9" s="17">
        <f t="shared" si="2"/>
        <v>753.0837174523236</v>
      </c>
      <c r="F9" s="18">
        <f>735+18</f>
        <v>753</v>
      </c>
      <c r="G9" s="19">
        <f t="shared" si="3"/>
        <v>-0.08371745232363992</v>
      </c>
      <c r="H9" s="65"/>
    </row>
    <row r="10" spans="1:8" s="10" customFormat="1" ht="15">
      <c r="A10" s="2" t="s">
        <v>138</v>
      </c>
      <c r="B10" s="18">
        <v>30.14</v>
      </c>
      <c r="C10" s="16">
        <f t="shared" si="0"/>
        <v>3.002281059063137</v>
      </c>
      <c r="D10" s="21"/>
      <c r="E10" s="22"/>
      <c r="F10" s="22"/>
      <c r="G10" s="22"/>
      <c r="H10" s="65"/>
    </row>
    <row r="11" spans="1:7" s="10" customFormat="1" ht="15">
      <c r="A11" s="23"/>
      <c r="B11" s="24">
        <f>SUM(B5:B10)</f>
        <v>270.04999999999995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10" customFormat="1" ht="21.75" customHeight="1">
      <c r="A1" s="6" t="s">
        <v>126</v>
      </c>
      <c r="B1" s="7">
        <v>42026</v>
      </c>
      <c r="C1" s="7"/>
      <c r="D1" s="8" t="s">
        <v>127</v>
      </c>
      <c r="E1" s="83">
        <v>73.92</v>
      </c>
      <c r="F1" s="10" t="s">
        <v>128</v>
      </c>
    </row>
    <row r="2" s="10" customFormat="1" ht="23.25" customHeight="1">
      <c r="A2" s="11" t="s">
        <v>286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281</v>
      </c>
      <c r="B4" s="89"/>
      <c r="C4" s="16">
        <f aca="true" t="shared" si="0" ref="C4:C9">B4/$B$10*$C$10</f>
        <v>0</v>
      </c>
      <c r="D4" s="16">
        <f>B4+C4</f>
        <v>0</v>
      </c>
      <c r="E4" s="17">
        <f>D4*$E$1</f>
        <v>0</v>
      </c>
      <c r="F4" s="18">
        <f>602-21-581</f>
        <v>0</v>
      </c>
      <c r="G4" s="19">
        <f>F4-E4</f>
        <v>0</v>
      </c>
    </row>
    <row r="5" spans="1:8" s="10" customFormat="1" ht="15">
      <c r="A5" s="3" t="s">
        <v>244</v>
      </c>
      <c r="B5" s="18">
        <v>10.7</v>
      </c>
      <c r="C5" s="16">
        <f t="shared" si="0"/>
        <v>1.3607019427574405</v>
      </c>
      <c r="D5" s="16">
        <f>B5+C5</f>
        <v>12.06070194275744</v>
      </c>
      <c r="E5" s="17">
        <f>D5*$E$1</f>
        <v>891.52708760863</v>
      </c>
      <c r="F5" s="18">
        <f>930-32</f>
        <v>898</v>
      </c>
      <c r="G5" s="19">
        <f>F5-E5</f>
        <v>6.4729123913699596</v>
      </c>
      <c r="H5" s="10" t="s">
        <v>287</v>
      </c>
    </row>
    <row r="6" spans="1:8" s="10" customFormat="1" ht="15">
      <c r="A6" s="2" t="s">
        <v>96</v>
      </c>
      <c r="B6" s="18">
        <v>76.56</v>
      </c>
      <c r="C6" s="16">
        <f t="shared" si="0"/>
        <v>9.736013153038286</v>
      </c>
      <c r="D6" s="16">
        <f>B6+C6</f>
        <v>86.29601315303829</v>
      </c>
      <c r="E6" s="17">
        <f>D6*$E$1</f>
        <v>6379.00129227259</v>
      </c>
      <c r="F6" s="18">
        <f>6609-230</f>
        <v>6379</v>
      </c>
      <c r="G6" s="19">
        <f>F6-E6</f>
        <v>-0.0012922725900352816</v>
      </c>
      <c r="H6" s="10" t="s">
        <v>288</v>
      </c>
    </row>
    <row r="7" spans="1:7" s="10" customFormat="1" ht="15">
      <c r="A7" s="2" t="s">
        <v>87</v>
      </c>
      <c r="B7" s="18">
        <v>16.96</v>
      </c>
      <c r="C7" s="16">
        <f t="shared" si="0"/>
        <v>2.156776163473476</v>
      </c>
      <c r="D7" s="16">
        <f>B7+C7</f>
        <v>19.116776163473478</v>
      </c>
      <c r="E7" s="17">
        <f>D7*$E$1</f>
        <v>1413.1120940039596</v>
      </c>
      <c r="F7" s="18">
        <v>1464</v>
      </c>
      <c r="G7" s="19">
        <f>F7-E7</f>
        <v>50.887905996040445</v>
      </c>
    </row>
    <row r="8" spans="1:8" s="10" customFormat="1" ht="15">
      <c r="A8" s="2" t="s">
        <v>282</v>
      </c>
      <c r="B8" s="18">
        <v>26.01</v>
      </c>
      <c r="C8" s="16">
        <f t="shared" si="0"/>
        <v>3.3076502365533673</v>
      </c>
      <c r="D8" s="16">
        <f>B8+C8</f>
        <v>29.31765023655337</v>
      </c>
      <c r="E8" s="17">
        <f>D8*$E$1</f>
        <v>2167.160705486025</v>
      </c>
      <c r="F8" s="18">
        <f>2245-78</f>
        <v>2167</v>
      </c>
      <c r="G8" s="19">
        <f>F8-E8</f>
        <v>-0.16070548602510826</v>
      </c>
      <c r="H8" s="48" t="s">
        <v>308</v>
      </c>
    </row>
    <row r="9" spans="1:8" s="10" customFormat="1" ht="15">
      <c r="A9" s="2" t="s">
        <v>138</v>
      </c>
      <c r="B9" s="18">
        <v>167.8</v>
      </c>
      <c r="C9" s="16">
        <f t="shared" si="0"/>
        <v>21.338858504177434</v>
      </c>
      <c r="D9" s="21"/>
      <c r="E9" s="22"/>
      <c r="F9" s="22"/>
      <c r="G9" s="22"/>
      <c r="H9" s="65"/>
    </row>
    <row r="10" spans="1:7" s="10" customFormat="1" ht="15">
      <c r="A10" s="23"/>
      <c r="B10" s="24">
        <f>SUM(B5:B9)</f>
        <v>298.03</v>
      </c>
      <c r="C10" s="24">
        <v>37.9</v>
      </c>
      <c r="D10" s="21"/>
      <c r="E10" s="22"/>
      <c r="F10" s="22"/>
      <c r="G10" s="22"/>
    </row>
    <row r="13" ht="28.5">
      <c r="A13" s="88" t="s">
        <v>283</v>
      </c>
    </row>
    <row r="14" ht="31.5">
      <c r="A14" s="87" t="s">
        <v>244</v>
      </c>
    </row>
    <row r="15" ht="15">
      <c r="A15" s="81" t="s">
        <v>284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42081</v>
      </c>
      <c r="C1" s="7"/>
      <c r="D1" s="8" t="s">
        <v>127</v>
      </c>
      <c r="E1" s="83">
        <v>66.98</v>
      </c>
      <c r="F1" s="10" t="s">
        <v>128</v>
      </c>
    </row>
    <row r="2" s="10" customFormat="1" ht="23.25" customHeight="1">
      <c r="A2" s="11" t="s">
        <v>289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s="10" customFormat="1" ht="15">
      <c r="A4" s="2" t="s">
        <v>290</v>
      </c>
      <c r="B4" s="90" t="s">
        <v>299</v>
      </c>
      <c r="C4" s="18"/>
      <c r="D4" s="16">
        <f>C4/$C$16*$D$16</f>
        <v>0</v>
      </c>
      <c r="E4" s="16"/>
      <c r="F4" s="92">
        <f aca="true" t="shared" si="0" ref="F4:F14">E4*$E$1</f>
        <v>0</v>
      </c>
      <c r="G4" s="18">
        <f>547-547</f>
        <v>0</v>
      </c>
      <c r="H4" s="19">
        <f aca="true" t="shared" si="1" ref="H4:H14">G4-F4</f>
        <v>0</v>
      </c>
      <c r="I4" s="10" t="s">
        <v>302</v>
      </c>
    </row>
    <row r="5" spans="1:8" s="10" customFormat="1" ht="15">
      <c r="A5" s="3" t="s">
        <v>51</v>
      </c>
      <c r="B5" s="18">
        <v>10.93</v>
      </c>
      <c r="C5" s="18">
        <v>630</v>
      </c>
      <c r="D5" s="16">
        <f aca="true" t="shared" si="2" ref="D5:D15">C5/$C$16*$D$16</f>
        <v>4.333393829401089</v>
      </c>
      <c r="E5" s="16">
        <f aca="true" t="shared" si="3" ref="E5:E14">B5+D5</f>
        <v>15.263393829401089</v>
      </c>
      <c r="F5" s="92">
        <f t="shared" si="0"/>
        <v>1022.342118693285</v>
      </c>
      <c r="G5" s="18">
        <f>950+48</f>
        <v>998</v>
      </c>
      <c r="H5" s="19">
        <f t="shared" si="1"/>
        <v>-24.342118693284988</v>
      </c>
    </row>
    <row r="6" spans="1:8" s="10" customFormat="1" ht="15">
      <c r="A6" s="2" t="s">
        <v>43</v>
      </c>
      <c r="B6" s="18">
        <v>29.25</v>
      </c>
      <c r="C6" s="18">
        <v>140</v>
      </c>
      <c r="D6" s="16">
        <f t="shared" si="2"/>
        <v>0.9629764065335753</v>
      </c>
      <c r="E6" s="16">
        <f t="shared" si="3"/>
        <v>30.212976406533574</v>
      </c>
      <c r="F6" s="92">
        <f t="shared" si="0"/>
        <v>2023.6651597096188</v>
      </c>
      <c r="G6" s="18">
        <f>2001+22</f>
        <v>2023</v>
      </c>
      <c r="H6" s="19">
        <f t="shared" si="1"/>
        <v>-0.6651597096188198</v>
      </c>
    </row>
    <row r="7" spans="1:8" s="10" customFormat="1" ht="15">
      <c r="A7" s="2" t="s">
        <v>291</v>
      </c>
      <c r="B7" s="18">
        <v>6.45</v>
      </c>
      <c r="C7" s="18">
        <v>50</v>
      </c>
      <c r="D7" s="16">
        <f t="shared" si="2"/>
        <v>0.34392014519056263</v>
      </c>
      <c r="E7" s="16">
        <f t="shared" si="3"/>
        <v>6.793920145190563</v>
      </c>
      <c r="F7" s="92">
        <f t="shared" si="0"/>
        <v>455.0567713248639</v>
      </c>
      <c r="G7" s="18">
        <f>964-509</f>
        <v>455</v>
      </c>
      <c r="H7" s="19">
        <f t="shared" si="1"/>
        <v>-0.05677132486391656</v>
      </c>
    </row>
    <row r="8" spans="1:8" s="10" customFormat="1" ht="15">
      <c r="A8" s="2" t="s">
        <v>292</v>
      </c>
      <c r="B8" s="18">
        <v>4.27</v>
      </c>
      <c r="C8" s="18">
        <v>230</v>
      </c>
      <c r="D8" s="16">
        <f t="shared" si="2"/>
        <v>1.5820326678765881</v>
      </c>
      <c r="E8" s="16">
        <f t="shared" si="3"/>
        <v>5.852032667876587</v>
      </c>
      <c r="F8" s="92">
        <f t="shared" si="0"/>
        <v>391.96914809437385</v>
      </c>
      <c r="G8" s="18">
        <f>370+22</f>
        <v>392</v>
      </c>
      <c r="H8" s="19">
        <f t="shared" si="1"/>
        <v>0.030851905626150256</v>
      </c>
    </row>
    <row r="9" spans="1:8" s="10" customFormat="1" ht="15">
      <c r="A9" s="3" t="s">
        <v>96</v>
      </c>
      <c r="B9" s="18">
        <v>23.84</v>
      </c>
      <c r="C9" s="18">
        <v>200</v>
      </c>
      <c r="D9" s="16">
        <f t="shared" si="2"/>
        <v>1.3756805807622505</v>
      </c>
      <c r="E9" s="16">
        <f t="shared" si="3"/>
        <v>25.21568058076225</v>
      </c>
      <c r="F9" s="92">
        <f t="shared" si="0"/>
        <v>1688.9462852994557</v>
      </c>
      <c r="G9" s="18">
        <v>1662</v>
      </c>
      <c r="H9" s="19">
        <f t="shared" si="1"/>
        <v>-26.946285299455667</v>
      </c>
    </row>
    <row r="10" spans="1:8" s="10" customFormat="1" ht="15">
      <c r="A10" s="2" t="s">
        <v>293</v>
      </c>
      <c r="B10" s="18">
        <v>9.45</v>
      </c>
      <c r="C10" s="18">
        <v>350</v>
      </c>
      <c r="D10" s="16">
        <f t="shared" si="2"/>
        <v>2.407441016333938</v>
      </c>
      <c r="E10" s="16">
        <f t="shared" si="3"/>
        <v>11.857441016333937</v>
      </c>
      <c r="F10" s="92">
        <f t="shared" si="0"/>
        <v>794.2113992740472</v>
      </c>
      <c r="G10" s="18">
        <f>753+41</f>
        <v>794</v>
      </c>
      <c r="H10" s="19">
        <f t="shared" si="1"/>
        <v>-0.21139927404715309</v>
      </c>
    </row>
    <row r="11" spans="1:8" s="10" customFormat="1" ht="15">
      <c r="A11" s="2" t="s">
        <v>8</v>
      </c>
      <c r="B11" s="18">
        <v>7.78</v>
      </c>
      <c r="C11" s="18">
        <v>130</v>
      </c>
      <c r="D11" s="16">
        <f t="shared" si="2"/>
        <v>0.8941923774954629</v>
      </c>
      <c r="E11" s="16">
        <f t="shared" si="3"/>
        <v>8.674192377495464</v>
      </c>
      <c r="F11" s="92">
        <f t="shared" si="0"/>
        <v>580.9974054446462</v>
      </c>
      <c r="G11" s="18">
        <f>565-13</f>
        <v>552</v>
      </c>
      <c r="H11" s="19">
        <f t="shared" si="1"/>
        <v>-28.997405444646233</v>
      </c>
    </row>
    <row r="12" spans="1:9" s="10" customFormat="1" ht="15">
      <c r="A12" s="2" t="s">
        <v>93</v>
      </c>
      <c r="B12" s="18">
        <v>21.7</v>
      </c>
      <c r="C12" s="18">
        <v>160</v>
      </c>
      <c r="D12" s="16">
        <f t="shared" si="2"/>
        <v>1.1005444646098004</v>
      </c>
      <c r="E12" s="16">
        <f t="shared" si="3"/>
        <v>22.8005444646098</v>
      </c>
      <c r="F12" s="92">
        <f t="shared" si="0"/>
        <v>1527.1804682395646</v>
      </c>
      <c r="G12" s="18">
        <f>1539-13</f>
        <v>1526</v>
      </c>
      <c r="H12" s="19">
        <f t="shared" si="1"/>
        <v>-1.1804682395645614</v>
      </c>
      <c r="I12" s="10" t="s">
        <v>303</v>
      </c>
    </row>
    <row r="13" spans="1:8" s="10" customFormat="1" ht="15">
      <c r="A13" s="2" t="s">
        <v>73</v>
      </c>
      <c r="B13" s="18">
        <v>14.6</v>
      </c>
      <c r="C13" s="18">
        <v>60</v>
      </c>
      <c r="D13" s="16">
        <f t="shared" si="2"/>
        <v>0.4127041742286751</v>
      </c>
      <c r="E13" s="16">
        <f t="shared" si="3"/>
        <v>15.012704174228675</v>
      </c>
      <c r="F13" s="92">
        <f t="shared" si="0"/>
        <v>1005.5509255898368</v>
      </c>
      <c r="G13" s="18">
        <f>995+11</f>
        <v>1006</v>
      </c>
      <c r="H13" s="19">
        <f t="shared" si="1"/>
        <v>0.44907441016323446</v>
      </c>
    </row>
    <row r="14" spans="1:9" s="10" customFormat="1" ht="15">
      <c r="A14" s="2" t="s">
        <v>294</v>
      </c>
      <c r="B14" s="18">
        <v>2.97</v>
      </c>
      <c r="C14" s="18">
        <v>80</v>
      </c>
      <c r="D14" s="16">
        <f t="shared" si="2"/>
        <v>0.5502722323049002</v>
      </c>
      <c r="E14" s="16">
        <f t="shared" si="3"/>
        <v>3.5202722323049005</v>
      </c>
      <c r="F14" s="92">
        <f t="shared" si="0"/>
        <v>235.78783411978225</v>
      </c>
      <c r="G14" s="18">
        <f>226+10</f>
        <v>236</v>
      </c>
      <c r="H14" s="19">
        <f t="shared" si="1"/>
        <v>0.2121658802177535</v>
      </c>
      <c r="I14" s="48"/>
    </row>
    <row r="15" spans="1:9" s="10" customFormat="1" ht="15">
      <c r="A15" s="2" t="s">
        <v>138</v>
      </c>
      <c r="B15" s="24"/>
      <c r="C15" s="18">
        <v>3480</v>
      </c>
      <c r="D15" s="16">
        <f t="shared" si="2"/>
        <v>23.936842105263157</v>
      </c>
      <c r="E15" s="21"/>
      <c r="F15" s="22"/>
      <c r="G15" s="22"/>
      <c r="H15" s="22"/>
      <c r="I15" s="65"/>
    </row>
    <row r="16" spans="1:8" s="10" customFormat="1" ht="15">
      <c r="A16" s="23"/>
      <c r="B16" s="24">
        <f>SUM(B5:B15)</f>
        <v>131.24</v>
      </c>
      <c r="C16" s="24">
        <f>SUM(C4:C15)</f>
        <v>5510</v>
      </c>
      <c r="D16" s="24">
        <v>37.9</v>
      </c>
      <c r="E16" s="21"/>
      <c r="F16" s="22"/>
      <c r="G16" s="22"/>
      <c r="H16" s="22"/>
    </row>
    <row r="18" ht="15">
      <c r="A18" s="91" t="s">
        <v>300</v>
      </c>
    </row>
    <row r="19" ht="15">
      <c r="A19" s="9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42085</v>
      </c>
      <c r="C1" s="7"/>
      <c r="D1" s="8" t="s">
        <v>127</v>
      </c>
      <c r="E1" s="83">
        <v>57.132</v>
      </c>
      <c r="F1" s="10" t="s">
        <v>128</v>
      </c>
    </row>
    <row r="2" s="10" customFormat="1" ht="23.25" customHeight="1">
      <c r="A2" s="11" t="s">
        <v>304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64</v>
      </c>
      <c r="B4" s="18">
        <v>102.59</v>
      </c>
      <c r="C4" s="18">
        <v>3540</v>
      </c>
      <c r="D4" s="16">
        <f aca="true" t="shared" si="0" ref="D4:D9">C4/$C$10*$D$10</f>
        <v>21.922549019607846</v>
      </c>
      <c r="E4" s="16">
        <f>B4+D4</f>
        <v>124.51254901960785</v>
      </c>
      <c r="F4" s="92">
        <f>E4*$E$1</f>
        <v>7113.650950588235</v>
      </c>
      <c r="G4" s="18">
        <f>6370+744</f>
        <v>7114</v>
      </c>
      <c r="H4" s="19">
        <f>G4-F4</f>
        <v>0.3490494117650087</v>
      </c>
    </row>
    <row r="5" spans="1:8" s="10" customFormat="1" ht="15">
      <c r="A5" s="2" t="s">
        <v>305</v>
      </c>
      <c r="B5" s="18">
        <v>1.51</v>
      </c>
      <c r="C5" s="18">
        <v>40</v>
      </c>
      <c r="D5" s="16">
        <f t="shared" si="0"/>
        <v>0.2477124183006536</v>
      </c>
      <c r="E5" s="16">
        <f>B5+D5</f>
        <v>1.7577124183006536</v>
      </c>
      <c r="F5" s="92">
        <f>E5*$E$1</f>
        <v>100.42162588235294</v>
      </c>
      <c r="G5" s="18">
        <v>106</v>
      </c>
      <c r="H5" s="19">
        <f>G5-F5</f>
        <v>5.5783741176470585</v>
      </c>
    </row>
    <row r="6" spans="1:9" s="10" customFormat="1" ht="15">
      <c r="A6" s="2" t="s">
        <v>306</v>
      </c>
      <c r="B6" s="18">
        <v>16.5</v>
      </c>
      <c r="C6" s="18">
        <v>70</v>
      </c>
      <c r="D6" s="16">
        <f t="shared" si="0"/>
        <v>0.43349673202614375</v>
      </c>
      <c r="E6" s="16">
        <f>B6+D6</f>
        <v>16.933496732026143</v>
      </c>
      <c r="F6" s="92">
        <f>E6*$E$1</f>
        <v>967.4445352941176</v>
      </c>
      <c r="G6" s="18">
        <f>956+10+1</f>
        <v>967</v>
      </c>
      <c r="H6" s="19">
        <f>G6-F6</f>
        <v>-0.44453529411759973</v>
      </c>
      <c r="I6" s="10" t="s">
        <v>309</v>
      </c>
    </row>
    <row r="7" spans="1:8" s="10" customFormat="1" ht="15">
      <c r="A7" s="2" t="s">
        <v>307</v>
      </c>
      <c r="B7" s="18">
        <v>38.03</v>
      </c>
      <c r="C7" s="18">
        <v>150</v>
      </c>
      <c r="D7" s="16">
        <f t="shared" si="0"/>
        <v>0.9289215686274509</v>
      </c>
      <c r="E7" s="16">
        <f>B7+D7</f>
        <v>38.95892156862745</v>
      </c>
      <c r="F7" s="92">
        <f>E7*$E$1</f>
        <v>2225.8011070588236</v>
      </c>
      <c r="G7" s="18">
        <v>2250</v>
      </c>
      <c r="H7" s="19">
        <f>G7-F7</f>
        <v>24.198892941176382</v>
      </c>
    </row>
    <row r="8" spans="1:9" s="10" customFormat="1" ht="15">
      <c r="A8" s="3" t="s">
        <v>282</v>
      </c>
      <c r="B8" s="18">
        <f>10.32-5.58</f>
        <v>4.74</v>
      </c>
      <c r="C8" s="18">
        <v>550</v>
      </c>
      <c r="D8" s="16">
        <f t="shared" si="0"/>
        <v>3.406045751633987</v>
      </c>
      <c r="E8" s="16">
        <f>B8+D8</f>
        <v>8.146045751633988</v>
      </c>
      <c r="F8" s="92">
        <f>E8*$E$1</f>
        <v>465.399885882353</v>
      </c>
      <c r="G8" s="18">
        <f>987-522</f>
        <v>465</v>
      </c>
      <c r="H8" s="19">
        <f>G8-F8</f>
        <v>-0.39988588235297584</v>
      </c>
      <c r="I8" s="10" t="s">
        <v>310</v>
      </c>
    </row>
    <row r="9" spans="1:9" s="10" customFormat="1" ht="15">
      <c r="A9" s="2" t="s">
        <v>138</v>
      </c>
      <c r="B9" s="24"/>
      <c r="C9" s="18">
        <v>1770</v>
      </c>
      <c r="D9" s="16">
        <f t="shared" si="0"/>
        <v>10.961274509803923</v>
      </c>
      <c r="E9" s="21"/>
      <c r="F9" s="22"/>
      <c r="G9" s="22"/>
      <c r="H9" s="22"/>
      <c r="I9" s="65"/>
    </row>
    <row r="10" spans="1:8" s="10" customFormat="1" ht="15">
      <c r="A10" s="23"/>
      <c r="B10" s="24">
        <f>SUM(B4:B9)</f>
        <v>163.37</v>
      </c>
      <c r="C10" s="24">
        <f>SUM(C4:C9)</f>
        <v>6120</v>
      </c>
      <c r="D10" s="24">
        <v>37.9</v>
      </c>
      <c r="E10" s="21"/>
      <c r="F10" s="22"/>
      <c r="G10" s="22"/>
      <c r="H10" s="2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10" customFormat="1" ht="21.75" customHeight="1">
      <c r="A1" s="6" t="s">
        <v>126</v>
      </c>
      <c r="B1" s="7">
        <v>42145</v>
      </c>
      <c r="C1" s="7"/>
      <c r="D1" s="8" t="s">
        <v>127</v>
      </c>
      <c r="E1" s="83">
        <v>57.21</v>
      </c>
      <c r="F1" s="10" t="s">
        <v>128</v>
      </c>
    </row>
    <row r="2" s="10" customFormat="1" ht="23.25" customHeight="1">
      <c r="A2" s="11" t="s">
        <v>311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312</v>
      </c>
      <c r="B4" s="18">
        <v>88</v>
      </c>
      <c r="C4" s="18">
        <v>760</v>
      </c>
      <c r="D4" s="16">
        <f aca="true" t="shared" si="0" ref="D4:D12">C4/$C$13*$D$13</f>
        <v>4.3841704718417045</v>
      </c>
      <c r="E4" s="16">
        <f aca="true" t="shared" si="1" ref="E4:E11">B4+D4</f>
        <v>92.3841704718417</v>
      </c>
      <c r="F4" s="92">
        <f aca="true" t="shared" si="2" ref="F4:F11">E4*$E$1</f>
        <v>5285.298392694063</v>
      </c>
      <c r="G4" s="18">
        <f>5233+52</f>
        <v>5285</v>
      </c>
      <c r="H4" s="19">
        <f aca="true" t="shared" si="3" ref="H4:H11">G4-F4</f>
        <v>-0.2983926940632955</v>
      </c>
    </row>
    <row r="5" spans="1:8" s="10" customFormat="1" ht="15">
      <c r="A5" s="2" t="s">
        <v>313</v>
      </c>
      <c r="B5" s="18">
        <v>8.72</v>
      </c>
      <c r="C5" s="18">
        <v>1120</v>
      </c>
      <c r="D5" s="16">
        <f t="shared" si="0"/>
        <v>6.460882800608827</v>
      </c>
      <c r="E5" s="16">
        <f t="shared" si="1"/>
        <v>15.180882800608828</v>
      </c>
      <c r="F5" s="92">
        <f t="shared" si="2"/>
        <v>868.498305022831</v>
      </c>
      <c r="G5" s="18">
        <v>889</v>
      </c>
      <c r="H5" s="19">
        <f t="shared" si="3"/>
        <v>20.501694977168995</v>
      </c>
    </row>
    <row r="6" spans="1:8" s="10" customFormat="1" ht="15">
      <c r="A6" s="2" t="s">
        <v>86</v>
      </c>
      <c r="B6" s="18">
        <v>11.98</v>
      </c>
      <c r="C6" s="18">
        <v>600</v>
      </c>
      <c r="D6" s="16">
        <f t="shared" si="0"/>
        <v>3.4611872146118716</v>
      </c>
      <c r="E6" s="16">
        <f t="shared" si="1"/>
        <v>15.441187214611872</v>
      </c>
      <c r="F6" s="92">
        <f t="shared" si="2"/>
        <v>883.3903205479453</v>
      </c>
      <c r="G6" s="18">
        <f>867+46</f>
        <v>913</v>
      </c>
      <c r="H6" s="19">
        <f t="shared" si="3"/>
        <v>29.609679452054706</v>
      </c>
    </row>
    <row r="7" spans="1:9" s="10" customFormat="1" ht="15">
      <c r="A7" s="3" t="s">
        <v>314</v>
      </c>
      <c r="B7" s="18">
        <v>42.29</v>
      </c>
      <c r="C7" s="18">
        <v>80</v>
      </c>
      <c r="D7" s="16">
        <f>C7/$C$13*$D$13</f>
        <v>0.4614916286149162</v>
      </c>
      <c r="E7" s="16">
        <f t="shared" si="1"/>
        <v>42.751491628614914</v>
      </c>
      <c r="F7" s="92">
        <f t="shared" si="2"/>
        <v>2445.8128360730593</v>
      </c>
      <c r="G7" s="18">
        <f>2431+15</f>
        <v>2446</v>
      </c>
      <c r="H7" s="19">
        <f t="shared" si="3"/>
        <v>0.18716392694068418</v>
      </c>
      <c r="I7" s="10" t="s">
        <v>320</v>
      </c>
    </row>
    <row r="8" spans="1:8" s="10" customFormat="1" ht="15">
      <c r="A8" s="2" t="s">
        <v>11</v>
      </c>
      <c r="B8" s="18">
        <v>4.74</v>
      </c>
      <c r="C8" s="18">
        <v>560</v>
      </c>
      <c r="D8" s="16">
        <f>C8/$C$13*$D$13</f>
        <v>3.2304414003044135</v>
      </c>
      <c r="E8" s="16">
        <f t="shared" si="1"/>
        <v>7.970441400304414</v>
      </c>
      <c r="F8" s="92">
        <f t="shared" si="2"/>
        <v>455.9889525114155</v>
      </c>
      <c r="G8" s="18">
        <v>456</v>
      </c>
      <c r="H8" s="19">
        <f t="shared" si="3"/>
        <v>0.011047488584495113</v>
      </c>
    </row>
    <row r="9" spans="1:8" s="10" customFormat="1" ht="15">
      <c r="A9" s="2" t="s">
        <v>315</v>
      </c>
      <c r="B9" s="18">
        <v>11.19</v>
      </c>
      <c r="C9" s="18">
        <v>50</v>
      </c>
      <c r="D9" s="16">
        <f>C9/$C$13*$D$13</f>
        <v>0.28843226788432264</v>
      </c>
      <c r="E9" s="16">
        <f t="shared" si="1"/>
        <v>11.478432267884322</v>
      </c>
      <c r="F9" s="92">
        <f t="shared" si="2"/>
        <v>656.6811100456621</v>
      </c>
      <c r="G9" s="18">
        <v>651</v>
      </c>
      <c r="H9" s="19">
        <f t="shared" si="3"/>
        <v>-5.681110045662081</v>
      </c>
    </row>
    <row r="10" spans="1:8" s="10" customFormat="1" ht="15">
      <c r="A10" s="2" t="s">
        <v>316</v>
      </c>
      <c r="B10" s="18">
        <v>29.33</v>
      </c>
      <c r="C10" s="18">
        <v>410</v>
      </c>
      <c r="D10" s="16">
        <f t="shared" si="0"/>
        <v>2.365144596651446</v>
      </c>
      <c r="E10" s="16">
        <f t="shared" si="1"/>
        <v>31.695144596651446</v>
      </c>
      <c r="F10" s="92">
        <f t="shared" si="2"/>
        <v>1813.2792223744293</v>
      </c>
      <c r="G10" s="18">
        <v>1830</v>
      </c>
      <c r="H10" s="19">
        <f t="shared" si="3"/>
        <v>16.72077762557069</v>
      </c>
    </row>
    <row r="11" spans="1:8" s="10" customFormat="1" ht="15">
      <c r="A11" s="3" t="s">
        <v>317</v>
      </c>
      <c r="B11" s="18">
        <v>88</v>
      </c>
      <c r="C11" s="18">
        <v>760</v>
      </c>
      <c r="D11" s="16">
        <f t="shared" si="0"/>
        <v>4.3841704718417045</v>
      </c>
      <c r="E11" s="16">
        <f t="shared" si="1"/>
        <v>92.3841704718417</v>
      </c>
      <c r="F11" s="92">
        <f t="shared" si="2"/>
        <v>5285.298392694063</v>
      </c>
      <c r="G11" s="18">
        <f>5200+85</f>
        <v>5285</v>
      </c>
      <c r="H11" s="19">
        <f t="shared" si="3"/>
        <v>-0.2983926940632955</v>
      </c>
    </row>
    <row r="12" spans="1:9" s="10" customFormat="1" ht="15">
      <c r="A12" s="2" t="s">
        <v>138</v>
      </c>
      <c r="B12" s="24"/>
      <c r="C12" s="18">
        <v>2230</v>
      </c>
      <c r="D12" s="16">
        <f t="shared" si="0"/>
        <v>12.86407914764079</v>
      </c>
      <c r="E12" s="21"/>
      <c r="F12" s="22"/>
      <c r="G12" s="22"/>
      <c r="H12" s="22"/>
      <c r="I12" s="65"/>
    </row>
    <row r="13" spans="1:8" s="10" customFormat="1" ht="15">
      <c r="A13" s="23"/>
      <c r="B13" s="24">
        <f>SUM(B4:B12)</f>
        <v>284.25</v>
      </c>
      <c r="C13" s="24">
        <f>SUM(C4:C12)</f>
        <v>6570</v>
      </c>
      <c r="D13" s="24">
        <v>37.9</v>
      </c>
      <c r="E13" s="21"/>
      <c r="F13" s="22"/>
      <c r="G13" s="22"/>
      <c r="H13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10" customFormat="1" ht="21.75" customHeight="1">
      <c r="A1" s="6" t="s">
        <v>126</v>
      </c>
      <c r="B1" s="7">
        <v>41546</v>
      </c>
      <c r="C1" s="7"/>
      <c r="D1" s="8" t="s">
        <v>127</v>
      </c>
      <c r="E1" s="9">
        <v>45.68</v>
      </c>
      <c r="G1" s="10" t="s">
        <v>128</v>
      </c>
    </row>
    <row r="2" s="10" customFormat="1" ht="23.25" customHeight="1">
      <c r="A2" s="11" t="s">
        <v>139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56</v>
      </c>
      <c r="B4" s="15">
        <v>5.95</v>
      </c>
      <c r="C4" s="16">
        <f aca="true" t="shared" si="0" ref="C4:C22">B4/$B$23*$C$23</f>
        <v>0.5606140093171612</v>
      </c>
      <c r="D4" s="16">
        <f aca="true" t="shared" si="1" ref="D4:D21">B4+C4</f>
        <v>6.510614009317162</v>
      </c>
      <c r="E4" s="17">
        <f aca="true" t="shared" si="2" ref="E4:E21">D4*$E$1</f>
        <v>297.4048479456079</v>
      </c>
      <c r="F4" s="18">
        <f>290+6</f>
        <v>296</v>
      </c>
      <c r="G4" s="19">
        <f aca="true" t="shared" si="3" ref="G4:G13">F4-E4</f>
        <v>-1.4048479456079122</v>
      </c>
    </row>
    <row r="5" spans="1:7" s="10" customFormat="1" ht="15">
      <c r="A5" s="4" t="s">
        <v>26</v>
      </c>
      <c r="B5" s="25">
        <v>26.7</v>
      </c>
      <c r="C5" s="26">
        <f t="shared" si="0"/>
        <v>2.515696478784572</v>
      </c>
      <c r="D5" s="26">
        <f t="shared" si="1"/>
        <v>29.215696478784572</v>
      </c>
      <c r="E5" s="27">
        <f t="shared" si="2"/>
        <v>1334.5730151508792</v>
      </c>
      <c r="F5" s="28">
        <v>1301</v>
      </c>
      <c r="G5" s="29">
        <f t="shared" si="3"/>
        <v>-33.5730151508792</v>
      </c>
    </row>
    <row r="6" spans="1:7" s="10" customFormat="1" ht="15">
      <c r="A6" s="30" t="s">
        <v>140</v>
      </c>
      <c r="B6" s="31">
        <v>14.2</v>
      </c>
      <c r="C6" s="32">
        <f t="shared" si="0"/>
        <v>1.3379359550090233</v>
      </c>
      <c r="D6" s="32">
        <f t="shared" si="1"/>
        <v>15.537935955009022</v>
      </c>
      <c r="E6" s="33">
        <f t="shared" si="2"/>
        <v>709.7729144248121</v>
      </c>
      <c r="F6" s="34">
        <f>1063+20+32</f>
        <v>1115</v>
      </c>
      <c r="G6" s="35">
        <f t="shared" si="3"/>
        <v>405.22708557518786</v>
      </c>
    </row>
    <row r="7" spans="1:7" s="10" customFormat="1" ht="15">
      <c r="A7" s="36" t="s">
        <v>63</v>
      </c>
      <c r="B7" s="37">
        <v>8.1</v>
      </c>
      <c r="C7" s="38">
        <f t="shared" si="0"/>
        <v>0.7631888194065556</v>
      </c>
      <c r="D7" s="38">
        <f t="shared" si="1"/>
        <v>8.863188819406556</v>
      </c>
      <c r="E7" s="39">
        <f t="shared" si="2"/>
        <v>404.8704652704915</v>
      </c>
      <c r="F7" s="40"/>
      <c r="G7" s="41">
        <f t="shared" si="3"/>
        <v>-404.8704652704915</v>
      </c>
    </row>
    <row r="8" spans="1:7" s="10" customFormat="1" ht="15">
      <c r="A8" s="42" t="s">
        <v>104</v>
      </c>
      <c r="B8" s="43">
        <v>14.5</v>
      </c>
      <c r="C8" s="44">
        <f t="shared" si="0"/>
        <v>1.3662022075796365</v>
      </c>
      <c r="D8" s="44">
        <f t="shared" si="1"/>
        <v>15.866202207579637</v>
      </c>
      <c r="E8" s="45">
        <f t="shared" si="2"/>
        <v>724.7681168422378</v>
      </c>
      <c r="F8" s="46">
        <v>725</v>
      </c>
      <c r="G8" s="47">
        <f t="shared" si="3"/>
        <v>0.23188315776224044</v>
      </c>
    </row>
    <row r="9" spans="1:7" s="10" customFormat="1" ht="15">
      <c r="A9" s="2" t="s">
        <v>44</v>
      </c>
      <c r="B9" s="15">
        <v>10.1</v>
      </c>
      <c r="C9" s="16">
        <f t="shared" si="0"/>
        <v>0.9516305032106435</v>
      </c>
      <c r="D9" s="16">
        <f t="shared" si="1"/>
        <v>11.051630503210642</v>
      </c>
      <c r="E9" s="17">
        <f t="shared" si="2"/>
        <v>504.8384813866621</v>
      </c>
      <c r="F9" s="18">
        <f>492+7</f>
        <v>499</v>
      </c>
      <c r="G9" s="19">
        <f t="shared" si="3"/>
        <v>-5.838481386662124</v>
      </c>
    </row>
    <row r="10" spans="1:9" s="10" customFormat="1" ht="15">
      <c r="A10" s="2" t="s">
        <v>40</v>
      </c>
      <c r="B10" s="15">
        <v>25.05</v>
      </c>
      <c r="C10" s="16">
        <f t="shared" si="0"/>
        <v>2.3602320896462</v>
      </c>
      <c r="D10" s="16">
        <f t="shared" si="1"/>
        <v>27.4102320896462</v>
      </c>
      <c r="E10" s="17">
        <f t="shared" si="2"/>
        <v>1252.0994018550384</v>
      </c>
      <c r="F10" s="18">
        <f>1220+32</f>
        <v>1252</v>
      </c>
      <c r="G10" s="19">
        <f t="shared" si="3"/>
        <v>-0.09940185503842258</v>
      </c>
      <c r="H10" s="17">
        <f>5.95*E1</f>
        <v>271.796</v>
      </c>
      <c r="I10" s="48" t="s">
        <v>141</v>
      </c>
    </row>
    <row r="11" spans="1:7" s="10" customFormat="1" ht="15">
      <c r="A11" s="2" t="s">
        <v>66</v>
      </c>
      <c r="B11" s="15">
        <v>39.8</v>
      </c>
      <c r="C11" s="16">
        <f t="shared" si="0"/>
        <v>3.7499895077013474</v>
      </c>
      <c r="D11" s="16">
        <f t="shared" si="1"/>
        <v>43.54998950770135</v>
      </c>
      <c r="E11" s="17">
        <f t="shared" si="2"/>
        <v>1989.3635207117975</v>
      </c>
      <c r="F11" s="18">
        <f>1939+50</f>
        <v>1989</v>
      </c>
      <c r="G11" s="19">
        <f t="shared" si="3"/>
        <v>-0.36352071179749146</v>
      </c>
    </row>
    <row r="12" spans="1:7" s="10" customFormat="1" ht="15">
      <c r="A12" s="2" t="s">
        <v>90</v>
      </c>
      <c r="B12" s="15">
        <v>65.9</v>
      </c>
      <c r="C12" s="16">
        <f t="shared" si="0"/>
        <v>6.209153481344694</v>
      </c>
      <c r="D12" s="16">
        <f t="shared" si="1"/>
        <v>72.1091534813447</v>
      </c>
      <c r="E12" s="17">
        <f t="shared" si="2"/>
        <v>3293.946131027826</v>
      </c>
      <c r="F12" s="18">
        <f>3210+84</f>
        <v>3294</v>
      </c>
      <c r="G12" s="19">
        <f t="shared" si="3"/>
        <v>0.05386897217385922</v>
      </c>
    </row>
    <row r="13" spans="1:7" s="10" customFormat="1" ht="15">
      <c r="A13" s="2" t="s">
        <v>142</v>
      </c>
      <c r="B13" s="15">
        <v>7.3</v>
      </c>
      <c r="C13" s="16">
        <f t="shared" si="0"/>
        <v>0.6878121458849206</v>
      </c>
      <c r="D13" s="16">
        <f t="shared" si="1"/>
        <v>7.98781214588492</v>
      </c>
      <c r="E13" s="17">
        <f t="shared" si="2"/>
        <v>364.88325882402313</v>
      </c>
      <c r="F13" s="18">
        <v>356</v>
      </c>
      <c r="G13" s="19">
        <f t="shared" si="3"/>
        <v>-8.88325882402313</v>
      </c>
    </row>
    <row r="14" spans="1:7" s="10" customFormat="1" ht="15">
      <c r="A14" s="2" t="s">
        <v>68</v>
      </c>
      <c r="B14" s="15">
        <v>9.9</v>
      </c>
      <c r="C14" s="16">
        <f t="shared" si="0"/>
        <v>0.9327863348302347</v>
      </c>
      <c r="D14" s="16">
        <f t="shared" si="1"/>
        <v>10.832786334830235</v>
      </c>
      <c r="E14" s="17">
        <f t="shared" si="2"/>
        <v>494.8416797750451</v>
      </c>
      <c r="F14" s="18">
        <f>481+12</f>
        <v>493</v>
      </c>
      <c r="G14" s="19">
        <f>F14-E14+1</f>
        <v>-0.8416797750451224</v>
      </c>
    </row>
    <row r="15" spans="1:7" s="10" customFormat="1" ht="15">
      <c r="A15" s="2" t="s">
        <v>54</v>
      </c>
      <c r="B15" s="15">
        <v>43.68</v>
      </c>
      <c r="C15" s="16">
        <f t="shared" si="0"/>
        <v>4.115566374281277</v>
      </c>
      <c r="D15" s="16">
        <f t="shared" si="1"/>
        <v>47.79556637428128</v>
      </c>
      <c r="E15" s="17">
        <f t="shared" si="2"/>
        <v>2183.3014719771686</v>
      </c>
      <c r="F15" s="18">
        <f>2128+55</f>
        <v>2183</v>
      </c>
      <c r="G15" s="19">
        <f aca="true" t="shared" si="4" ref="G15:G21">F15-E15</f>
        <v>-0.3014719771686032</v>
      </c>
    </row>
    <row r="16" spans="1:8" s="10" customFormat="1" ht="15">
      <c r="A16" s="2" t="s">
        <v>25</v>
      </c>
      <c r="B16" s="15">
        <v>21.7</v>
      </c>
      <c r="C16" s="16">
        <f t="shared" si="0"/>
        <v>2.044592269274353</v>
      </c>
      <c r="D16" s="16">
        <f t="shared" si="1"/>
        <v>23.744592269274353</v>
      </c>
      <c r="E16" s="17">
        <f t="shared" si="2"/>
        <v>1084.6529748604523</v>
      </c>
      <c r="F16" s="18">
        <f>1076+10</f>
        <v>1086</v>
      </c>
      <c r="G16" s="19">
        <f t="shared" si="4"/>
        <v>1.347025139547668</v>
      </c>
      <c r="H16" s="10" t="s">
        <v>143</v>
      </c>
    </row>
    <row r="17" spans="1:7" s="10" customFormat="1" ht="15">
      <c r="A17" s="2" t="s">
        <v>39</v>
      </c>
      <c r="B17" s="15">
        <v>27.64</v>
      </c>
      <c r="C17" s="16">
        <f t="shared" si="0"/>
        <v>2.6042640701724937</v>
      </c>
      <c r="D17" s="16">
        <f t="shared" si="1"/>
        <v>30.244264070172495</v>
      </c>
      <c r="E17" s="17">
        <f t="shared" si="2"/>
        <v>1381.5579827254796</v>
      </c>
      <c r="F17" s="18">
        <v>1347</v>
      </c>
      <c r="G17" s="19">
        <f t="shared" si="4"/>
        <v>-34.55798272547963</v>
      </c>
    </row>
    <row r="18" spans="1:7" s="10" customFormat="1" ht="15">
      <c r="A18" s="3" t="s">
        <v>60</v>
      </c>
      <c r="B18" s="15">
        <v>21.85</v>
      </c>
      <c r="C18" s="16">
        <f t="shared" si="0"/>
        <v>2.058725395559659</v>
      </c>
      <c r="D18" s="16">
        <f t="shared" si="1"/>
        <v>23.90872539555966</v>
      </c>
      <c r="E18" s="17">
        <f t="shared" si="2"/>
        <v>1092.1505760691653</v>
      </c>
      <c r="F18" s="18">
        <f>1064+28</f>
        <v>1092</v>
      </c>
      <c r="G18" s="19">
        <f t="shared" si="4"/>
        <v>-0.150576069165254</v>
      </c>
    </row>
    <row r="19" spans="1:7" s="10" customFormat="1" ht="15">
      <c r="A19" s="49" t="s">
        <v>23</v>
      </c>
      <c r="B19" s="15">
        <v>9.95</v>
      </c>
      <c r="C19" s="16">
        <f t="shared" si="0"/>
        <v>0.9374973769253369</v>
      </c>
      <c r="D19" s="16">
        <f t="shared" si="1"/>
        <v>10.887497376925337</v>
      </c>
      <c r="E19" s="17">
        <f t="shared" si="2"/>
        <v>497.3408801779494</v>
      </c>
      <c r="F19" s="18">
        <f>485+12</f>
        <v>497</v>
      </c>
      <c r="G19" s="19">
        <f t="shared" si="4"/>
        <v>-0.34088017794937286</v>
      </c>
    </row>
    <row r="20" spans="1:7" s="10" customFormat="1" ht="15">
      <c r="A20" s="49" t="s">
        <v>93</v>
      </c>
      <c r="B20" s="15">
        <v>22.01</v>
      </c>
      <c r="C20" s="16">
        <f t="shared" si="0"/>
        <v>2.0738007302639865</v>
      </c>
      <c r="D20" s="16">
        <f t="shared" si="1"/>
        <v>24.083800730263988</v>
      </c>
      <c r="E20" s="17">
        <f t="shared" si="2"/>
        <v>1100.148017358459</v>
      </c>
      <c r="F20" s="18">
        <v>1072</v>
      </c>
      <c r="G20" s="19">
        <f t="shared" si="4"/>
        <v>-28.1480173584589</v>
      </c>
    </row>
    <row r="21" spans="1:7" s="10" customFormat="1" ht="15">
      <c r="A21" s="49" t="s">
        <v>82</v>
      </c>
      <c r="B21" s="15">
        <v>14.44</v>
      </c>
      <c r="C21" s="16">
        <f t="shared" si="0"/>
        <v>1.360548957065514</v>
      </c>
      <c r="D21" s="16">
        <f t="shared" si="1"/>
        <v>15.800548957065514</v>
      </c>
      <c r="E21" s="17">
        <f t="shared" si="2"/>
        <v>721.7690763587527</v>
      </c>
      <c r="F21" s="18">
        <f>703+19</f>
        <v>722</v>
      </c>
      <c r="G21" s="19">
        <f t="shared" si="4"/>
        <v>0.23092364124727283</v>
      </c>
    </row>
    <row r="22" spans="1:7" s="10" customFormat="1" ht="15">
      <c r="A22" s="49" t="s">
        <v>138</v>
      </c>
      <c r="B22" s="15">
        <f>102.21-14.44</f>
        <v>87.77</v>
      </c>
      <c r="C22" s="16">
        <f t="shared" si="0"/>
        <v>8.269763293742393</v>
      </c>
      <c r="D22" s="21"/>
      <c r="E22" s="22"/>
      <c r="F22" s="22"/>
      <c r="G22" s="22"/>
    </row>
    <row r="23" spans="1:7" s="10" customFormat="1" ht="15">
      <c r="A23" s="23"/>
      <c r="B23" s="24">
        <f>SUM(B4:B22)</f>
        <v>476.53999999999996</v>
      </c>
      <c r="C23" s="24">
        <v>44.9</v>
      </c>
      <c r="D23" s="21"/>
      <c r="E23" s="22"/>
      <c r="F23" s="22"/>
      <c r="G2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6" t="s">
        <v>126</v>
      </c>
      <c r="B1" s="7">
        <v>42179</v>
      </c>
      <c r="C1" s="7"/>
      <c r="D1" s="8" t="s">
        <v>127</v>
      </c>
      <c r="E1" s="83">
        <v>62.89</v>
      </c>
      <c r="F1" s="10" t="s">
        <v>128</v>
      </c>
      <c r="G1" s="10"/>
      <c r="H1" s="10"/>
    </row>
    <row r="2" spans="1:8" ht="15">
      <c r="A2" s="11" t="s">
        <v>321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322</v>
      </c>
      <c r="B4" s="18">
        <v>29.94</v>
      </c>
      <c r="C4" s="18">
        <v>650</v>
      </c>
      <c r="D4" s="16">
        <f aca="true" t="shared" si="0" ref="D4:D13">C4/$C$14*$D$14</f>
        <v>3.5806686046511627</v>
      </c>
      <c r="E4" s="16">
        <f aca="true" t="shared" si="1" ref="E4:E11">B4+D4</f>
        <v>33.52066860465116</v>
      </c>
      <c r="F4" s="92">
        <f aca="true" t="shared" si="2" ref="F4:F11">E4*$E$1</f>
        <v>2108.114848546512</v>
      </c>
      <c r="G4" s="18">
        <f>2900-817</f>
        <v>2083</v>
      </c>
      <c r="H4" s="19">
        <f aca="true" t="shared" si="3" ref="H4:H11">G4-F4</f>
        <v>-25.114848546511894</v>
      </c>
      <c r="I4" s="95" t="s">
        <v>333</v>
      </c>
    </row>
    <row r="5" spans="1:8" ht="15">
      <c r="A5" s="2" t="s">
        <v>327</v>
      </c>
      <c r="B5" s="18">
        <v>13.04</v>
      </c>
      <c r="C5" s="18">
        <v>200</v>
      </c>
      <c r="D5" s="16">
        <f t="shared" si="0"/>
        <v>1.1017441860465116</v>
      </c>
      <c r="E5" s="16">
        <f t="shared" si="1"/>
        <v>14.14174418604651</v>
      </c>
      <c r="F5" s="92">
        <f t="shared" si="2"/>
        <v>889.3742918604651</v>
      </c>
      <c r="G5" s="18">
        <f>879+10</f>
        <v>889</v>
      </c>
      <c r="H5" s="19">
        <f t="shared" si="3"/>
        <v>-0.374291860465064</v>
      </c>
    </row>
    <row r="6" spans="1:8" ht="15">
      <c r="A6" s="2" t="s">
        <v>64</v>
      </c>
      <c r="B6" s="18">
        <v>44.56</v>
      </c>
      <c r="C6" s="18">
        <v>1280</v>
      </c>
      <c r="D6" s="16">
        <f t="shared" si="0"/>
        <v>7.051162790697674</v>
      </c>
      <c r="E6" s="16">
        <f t="shared" si="1"/>
        <v>51.611162790697676</v>
      </c>
      <c r="F6" s="92">
        <f t="shared" si="2"/>
        <v>3245.826027906977</v>
      </c>
      <c r="G6" s="18">
        <f>3201+44</f>
        <v>3245</v>
      </c>
      <c r="H6" s="19">
        <f t="shared" si="3"/>
        <v>-0.826027906976833</v>
      </c>
    </row>
    <row r="7" spans="1:9" ht="15">
      <c r="A7" s="3" t="s">
        <v>37</v>
      </c>
      <c r="B7" s="18">
        <v>51.5</v>
      </c>
      <c r="C7" s="18">
        <v>260</v>
      </c>
      <c r="D7" s="16">
        <f>C7/$C$14*$D$14</f>
        <v>1.432267441860465</v>
      </c>
      <c r="E7" s="16">
        <f t="shared" si="1"/>
        <v>52.93226744186047</v>
      </c>
      <c r="F7" s="92">
        <f t="shared" si="2"/>
        <v>3328.910299418605</v>
      </c>
      <c r="G7" s="18">
        <f>346+2941+42</f>
        <v>3329</v>
      </c>
      <c r="H7" s="19">
        <f t="shared" si="3"/>
        <v>0.08970058139493631</v>
      </c>
      <c r="I7" s="95" t="s">
        <v>334</v>
      </c>
    </row>
    <row r="8" spans="1:8" ht="15">
      <c r="A8" s="2" t="s">
        <v>71</v>
      </c>
      <c r="B8" s="18">
        <v>5.37</v>
      </c>
      <c r="C8" s="18">
        <v>210</v>
      </c>
      <c r="D8" s="16">
        <f>C8/$C$14*$D$14</f>
        <v>1.1568313953488372</v>
      </c>
      <c r="E8" s="16">
        <f t="shared" si="1"/>
        <v>6.526831395348838</v>
      </c>
      <c r="F8" s="92">
        <f t="shared" si="2"/>
        <v>410.4724264534884</v>
      </c>
      <c r="G8" s="18">
        <f>406+5</f>
        <v>411</v>
      </c>
      <c r="H8" s="19">
        <f t="shared" si="3"/>
        <v>0.5275735465115758</v>
      </c>
    </row>
    <row r="9" spans="1:8" ht="15">
      <c r="A9" s="2" t="s">
        <v>328</v>
      </c>
      <c r="B9" s="18">
        <v>74.28</v>
      </c>
      <c r="C9" s="18">
        <v>430</v>
      </c>
      <c r="D9" s="16">
        <f>C9/$C$14*$D$14</f>
        <v>2.36875</v>
      </c>
      <c r="E9" s="16">
        <f t="shared" si="1"/>
        <v>76.64875</v>
      </c>
      <c r="F9" s="92">
        <f t="shared" si="2"/>
        <v>4820.439887500001</v>
      </c>
      <c r="G9" s="18">
        <f>4800+20</f>
        <v>4820</v>
      </c>
      <c r="H9" s="19">
        <f t="shared" si="3"/>
        <v>-0.4398875000006228</v>
      </c>
    </row>
    <row r="10" spans="1:8" ht="15">
      <c r="A10" s="2" t="s">
        <v>325</v>
      </c>
      <c r="B10" s="18">
        <v>26.43</v>
      </c>
      <c r="C10" s="18">
        <v>1450</v>
      </c>
      <c r="D10" s="16">
        <f t="shared" si="0"/>
        <v>7.9876453488372094</v>
      </c>
      <c r="E10" s="16">
        <f t="shared" si="1"/>
        <v>34.41764534883721</v>
      </c>
      <c r="F10" s="92">
        <f t="shared" si="2"/>
        <v>2164.525715988372</v>
      </c>
      <c r="G10" s="18">
        <f>2141+24</f>
        <v>2165</v>
      </c>
      <c r="H10" s="19">
        <f t="shared" si="3"/>
        <v>0.47428401162778755</v>
      </c>
    </row>
    <row r="11" spans="1:8" ht="15">
      <c r="A11" s="3" t="s">
        <v>5</v>
      </c>
      <c r="B11" s="18">
        <v>1</v>
      </c>
      <c r="C11" s="18">
        <v>100</v>
      </c>
      <c r="D11" s="16">
        <f t="shared" si="0"/>
        <v>0.5508720930232558</v>
      </c>
      <c r="E11" s="16">
        <f t="shared" si="1"/>
        <v>1.5508720930232558</v>
      </c>
      <c r="F11" s="92">
        <f t="shared" si="2"/>
        <v>97.53434593023256</v>
      </c>
      <c r="G11" s="18">
        <v>89</v>
      </c>
      <c r="H11" s="19">
        <f t="shared" si="3"/>
        <v>-8.534345930232561</v>
      </c>
    </row>
    <row r="12" spans="1:8" ht="15">
      <c r="A12" s="2" t="s">
        <v>96</v>
      </c>
      <c r="B12" s="18">
        <v>37.26</v>
      </c>
      <c r="C12" s="18">
        <v>300</v>
      </c>
      <c r="D12" s="16">
        <f>C12/$C$14*$D$14</f>
        <v>1.6526162790697674</v>
      </c>
      <c r="E12" s="16">
        <f>B12+D12</f>
        <v>38.912616279069766</v>
      </c>
      <c r="F12" s="92">
        <f>E12*$E$1</f>
        <v>2447.2144377906975</v>
      </c>
      <c r="G12" s="18">
        <v>2445</v>
      </c>
      <c r="H12" s="19">
        <f>G12-F12</f>
        <v>-2.2144377906975024</v>
      </c>
    </row>
    <row r="13" spans="1:8" ht="15">
      <c r="A13" s="2" t="s">
        <v>138</v>
      </c>
      <c r="B13" s="24"/>
      <c r="C13" s="18">
        <v>2000</v>
      </c>
      <c r="D13" s="16">
        <f t="shared" si="0"/>
        <v>11.017441860465116</v>
      </c>
      <c r="E13" s="21"/>
      <c r="F13" s="22"/>
      <c r="G13" s="22"/>
      <c r="H13" s="22"/>
    </row>
    <row r="14" spans="1:8" ht="15">
      <c r="A14" s="23"/>
      <c r="B14" s="24">
        <f>SUM(B4:B13)</f>
        <v>283.38000000000005</v>
      </c>
      <c r="C14" s="24">
        <f>SUM(C4:C13)</f>
        <v>6880</v>
      </c>
      <c r="D14" s="24">
        <v>37.9</v>
      </c>
      <c r="E14" s="21"/>
      <c r="F14" s="22"/>
      <c r="G14" s="22"/>
      <c r="H14" s="22"/>
    </row>
    <row r="16" ht="21">
      <c r="A16" s="93" t="s">
        <v>220</v>
      </c>
    </row>
    <row r="17" ht="31.5">
      <c r="A17" s="94" t="s">
        <v>322</v>
      </c>
    </row>
    <row r="18" ht="15">
      <c r="A18" s="81" t="s">
        <v>323</v>
      </c>
    </row>
    <row r="19" ht="31.5">
      <c r="A19" s="94" t="s">
        <v>64</v>
      </c>
    </row>
    <row r="20" ht="15">
      <c r="A20" s="81" t="s">
        <v>324</v>
      </c>
    </row>
    <row r="21" ht="31.5">
      <c r="A21" s="94" t="s">
        <v>325</v>
      </c>
    </row>
    <row r="22" ht="15">
      <c r="A22" s="81" t="s">
        <v>326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6" t="s">
        <v>126</v>
      </c>
      <c r="B1" s="7">
        <v>42233</v>
      </c>
      <c r="C1" s="7"/>
      <c r="D1" s="8" t="s">
        <v>127</v>
      </c>
      <c r="E1" s="83">
        <v>74.75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4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3.02</v>
      </c>
      <c r="C4" s="18">
        <v>60</v>
      </c>
      <c r="D4" s="16">
        <f aca="true" t="shared" si="0" ref="D4:D13">C4/$C$14*$D$14</f>
        <v>0.3089673913043478</v>
      </c>
      <c r="E4" s="16">
        <f aca="true" t="shared" si="1" ref="E4:E11">B4+D4</f>
        <v>3.3289673913043476</v>
      </c>
      <c r="F4" s="92">
        <f aca="true" t="shared" si="2" ref="F4:F11">E4*$E$1</f>
        <v>248.84031249999998</v>
      </c>
      <c r="G4" s="18">
        <f>204+39</f>
        <v>243</v>
      </c>
      <c r="H4" s="19">
        <f aca="true" t="shared" si="3" ref="H4:H11">G4-F4</f>
        <v>-5.840312499999982</v>
      </c>
      <c r="I4" s="95"/>
    </row>
    <row r="5" spans="1:9" ht="15">
      <c r="A5" s="2" t="s">
        <v>335</v>
      </c>
      <c r="B5" s="18">
        <v>52.6</v>
      </c>
      <c r="C5" s="18">
        <v>800</v>
      </c>
      <c r="D5" s="16">
        <f t="shared" si="0"/>
        <v>4.119565217391304</v>
      </c>
      <c r="E5" s="16">
        <f t="shared" si="1"/>
        <v>56.719565217391306</v>
      </c>
      <c r="F5" s="92">
        <f t="shared" si="2"/>
        <v>4239.7875</v>
      </c>
      <c r="G5" s="18">
        <f>3514+53+673</f>
        <v>4240</v>
      </c>
      <c r="H5" s="19">
        <f t="shared" si="3"/>
        <v>0.2124999999996362</v>
      </c>
      <c r="I5" t="s">
        <v>342</v>
      </c>
    </row>
    <row r="6" spans="1:8" ht="15">
      <c r="A6" s="2" t="s">
        <v>336</v>
      </c>
      <c r="B6" s="18">
        <v>25.1</v>
      </c>
      <c r="C6" s="18">
        <v>560</v>
      </c>
      <c r="D6" s="16">
        <f t="shared" si="0"/>
        <v>2.883695652173913</v>
      </c>
      <c r="E6" s="16">
        <f t="shared" si="1"/>
        <v>27.983695652173914</v>
      </c>
      <c r="F6" s="92">
        <f t="shared" si="2"/>
        <v>2091.78125</v>
      </c>
      <c r="G6" s="18">
        <f>1741+351</f>
        <v>2092</v>
      </c>
      <c r="H6" s="19">
        <f t="shared" si="3"/>
        <v>0.21875</v>
      </c>
    </row>
    <row r="7" spans="1:9" ht="15">
      <c r="A7" s="3" t="s">
        <v>96</v>
      </c>
      <c r="B7" s="18">
        <v>50.71</v>
      </c>
      <c r="C7" s="18">
        <v>2870</v>
      </c>
      <c r="D7" s="16">
        <f>C7/$C$14*$D$14</f>
        <v>14.778940217391304</v>
      </c>
      <c r="E7" s="16">
        <f t="shared" si="1"/>
        <v>65.4889402173913</v>
      </c>
      <c r="F7" s="92">
        <f t="shared" si="2"/>
        <v>4895.2982812499995</v>
      </c>
      <c r="G7" s="18">
        <f>4150+745</f>
        <v>4895</v>
      </c>
      <c r="H7" s="19">
        <f t="shared" si="3"/>
        <v>-0.2982812499994907</v>
      </c>
      <c r="I7" s="95"/>
    </row>
    <row r="8" spans="1:8" ht="15">
      <c r="A8" s="2" t="s">
        <v>282</v>
      </c>
      <c r="B8" s="18">
        <v>5.16</v>
      </c>
      <c r="C8" s="18">
        <v>140</v>
      </c>
      <c r="D8" s="16">
        <f>C8/$C$14*$D$14</f>
        <v>0.7209239130434782</v>
      </c>
      <c r="E8" s="16">
        <f t="shared" si="1"/>
        <v>5.880923913043478</v>
      </c>
      <c r="F8" s="92">
        <f t="shared" si="2"/>
        <v>439.5990625</v>
      </c>
      <c r="G8" s="18">
        <f>370+70</f>
        <v>440</v>
      </c>
      <c r="H8" s="19">
        <f t="shared" si="3"/>
        <v>0.4009374999999977</v>
      </c>
    </row>
    <row r="9" spans="1:8" ht="15">
      <c r="A9" s="2" t="s">
        <v>95</v>
      </c>
      <c r="B9" s="18">
        <v>52.89</v>
      </c>
      <c r="C9" s="18">
        <v>215</v>
      </c>
      <c r="D9" s="16">
        <f>C9/$C$14*$D$14</f>
        <v>1.107133152173913</v>
      </c>
      <c r="E9" s="16">
        <f t="shared" si="1"/>
        <v>53.997133152173916</v>
      </c>
      <c r="F9" s="92">
        <f t="shared" si="2"/>
        <v>4036.285703125</v>
      </c>
      <c r="G9" s="18">
        <v>3983</v>
      </c>
      <c r="H9" s="19">
        <f t="shared" si="3"/>
        <v>-53.285703125000055</v>
      </c>
    </row>
    <row r="10" spans="1:8" ht="15">
      <c r="A10" s="2" t="s">
        <v>337</v>
      </c>
      <c r="B10" s="18">
        <v>27.05</v>
      </c>
      <c r="C10" s="18">
        <v>290</v>
      </c>
      <c r="D10" s="16">
        <f t="shared" si="0"/>
        <v>1.4933423913043478</v>
      </c>
      <c r="E10" s="16">
        <f t="shared" si="1"/>
        <v>28.54334239130435</v>
      </c>
      <c r="F10" s="92">
        <f t="shared" si="2"/>
        <v>2133.61484375</v>
      </c>
      <c r="G10" s="18">
        <f>1785+349</f>
        <v>2134</v>
      </c>
      <c r="H10" s="19">
        <f t="shared" si="3"/>
        <v>0.38515624999990905</v>
      </c>
    </row>
    <row r="11" spans="1:8" ht="15">
      <c r="A11" s="3" t="s">
        <v>338</v>
      </c>
      <c r="B11" s="18">
        <v>14.58</v>
      </c>
      <c r="C11" s="18">
        <v>30</v>
      </c>
      <c r="D11" s="16">
        <f t="shared" si="0"/>
        <v>0.1544836956521739</v>
      </c>
      <c r="E11" s="16">
        <f t="shared" si="1"/>
        <v>14.734483695652173</v>
      </c>
      <c r="F11" s="92">
        <f t="shared" si="2"/>
        <v>1101.4026562499998</v>
      </c>
      <c r="G11" s="18">
        <f>927+174</f>
        <v>1101</v>
      </c>
      <c r="H11" s="19">
        <f t="shared" si="3"/>
        <v>-0.4026562499998363</v>
      </c>
    </row>
    <row r="12" spans="1:8" ht="15">
      <c r="A12" s="2" t="s">
        <v>339</v>
      </c>
      <c r="B12" s="18">
        <v>16.4</v>
      </c>
      <c r="C12" s="18">
        <v>115</v>
      </c>
      <c r="D12" s="16">
        <f>C12/$C$14*$D$14</f>
        <v>0.5921875</v>
      </c>
      <c r="E12" s="16">
        <f>B12+D12</f>
        <v>16.9921875</v>
      </c>
      <c r="F12" s="92">
        <f>E12*$E$1</f>
        <v>1270.166015625</v>
      </c>
      <c r="G12" s="18">
        <v>1264</v>
      </c>
      <c r="H12" s="19">
        <f>G12-F12</f>
        <v>-6.166015625</v>
      </c>
    </row>
    <row r="13" spans="1:8" ht="15">
      <c r="A13" s="2" t="s">
        <v>138</v>
      </c>
      <c r="B13" s="24"/>
      <c r="C13" s="18">
        <v>2280</v>
      </c>
      <c r="D13" s="16">
        <f t="shared" si="0"/>
        <v>11.740760869565216</v>
      </c>
      <c r="E13" s="21"/>
      <c r="F13" s="22"/>
      <c r="G13" s="22"/>
      <c r="H13" s="22"/>
    </row>
    <row r="14" spans="1:8" ht="15">
      <c r="A14" s="23"/>
      <c r="B14" s="24">
        <f>SUM(B4:B13)</f>
        <v>247.51000000000005</v>
      </c>
      <c r="C14" s="24">
        <f>SUM(C4:C13)</f>
        <v>7360</v>
      </c>
      <c r="D14" s="24">
        <v>37.9</v>
      </c>
      <c r="E14" s="21"/>
      <c r="F14" s="22"/>
      <c r="G14" s="22"/>
      <c r="H14" s="22"/>
    </row>
    <row r="17" ht="28.5">
      <c r="A17" s="96" t="s">
        <v>343</v>
      </c>
    </row>
    <row r="18" ht="28.5">
      <c r="A18" s="96" t="s">
        <v>344</v>
      </c>
    </row>
    <row r="19" ht="28.5">
      <c r="A19" s="96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6" t="s">
        <v>126</v>
      </c>
      <c r="B1" s="7">
        <v>42294</v>
      </c>
      <c r="C1" s="7"/>
      <c r="D1" s="8" t="s">
        <v>127</v>
      </c>
      <c r="E1" s="83">
        <v>72.51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346</v>
      </c>
      <c r="B4" s="18">
        <v>91.48</v>
      </c>
      <c r="C4" s="18">
        <v>960</v>
      </c>
      <c r="D4" s="16">
        <f>C4/$C$8*$D$8</f>
        <v>5.268775790921595</v>
      </c>
      <c r="E4" s="16">
        <f>B4+D4</f>
        <v>96.7487757909216</v>
      </c>
      <c r="F4" s="92">
        <f>E4*$E$1</f>
        <v>7015.2537325997255</v>
      </c>
      <c r="G4" s="18">
        <f>6700+315</f>
        <v>7015</v>
      </c>
      <c r="H4" s="19">
        <f>G4-F4</f>
        <v>-0.2537325997254811</v>
      </c>
      <c r="I4" s="95"/>
    </row>
    <row r="5" spans="1:8" ht="15">
      <c r="A5" s="2" t="s">
        <v>243</v>
      </c>
      <c r="B5" s="18">
        <v>79.2</v>
      </c>
      <c r="C5" s="18">
        <v>760</v>
      </c>
      <c r="D5" s="16">
        <f>C5/$C$8*$D$8</f>
        <v>4.17111416781293</v>
      </c>
      <c r="E5" s="16">
        <f>B5+D5</f>
        <v>83.37111416781293</v>
      </c>
      <c r="F5" s="92">
        <f>E5*$E$1</f>
        <v>6045.239488308116</v>
      </c>
      <c r="G5" s="18">
        <f>5790+255</f>
        <v>6045</v>
      </c>
      <c r="H5" s="19">
        <f>G5-F5</f>
        <v>-0.23948830811605148</v>
      </c>
    </row>
    <row r="6" spans="1:9" ht="15">
      <c r="A6" s="2" t="s">
        <v>347</v>
      </c>
      <c r="B6" s="18">
        <v>33.01</v>
      </c>
      <c r="C6" s="18">
        <v>500</v>
      </c>
      <c r="D6" s="16">
        <f>C6/$C$8*$D$8</f>
        <v>2.7441540577716643</v>
      </c>
      <c r="E6" s="16">
        <f>B6+D6</f>
        <v>35.754154057771665</v>
      </c>
      <c r="F6" s="92">
        <f>E6*$E$1</f>
        <v>2592.5337107290234</v>
      </c>
      <c r="G6" s="18">
        <f>3200-607</f>
        <v>2593</v>
      </c>
      <c r="H6" s="19">
        <f>G6-F6</f>
        <v>0.4662892709766311</v>
      </c>
      <c r="I6" s="97" t="s">
        <v>348</v>
      </c>
    </row>
    <row r="7" spans="1:8" ht="15">
      <c r="A7" s="2" t="s">
        <v>138</v>
      </c>
      <c r="B7" s="24"/>
      <c r="C7" s="18">
        <v>5050</v>
      </c>
      <c r="D7" s="16">
        <f>C7/$C$8*$D$8</f>
        <v>27.715955983493807</v>
      </c>
      <c r="E7" s="21"/>
      <c r="F7" s="22"/>
      <c r="G7" s="22"/>
      <c r="H7" s="22"/>
    </row>
    <row r="8" spans="1:8" ht="15">
      <c r="A8" s="23"/>
      <c r="B8" s="24">
        <f>SUM(B4:B7)</f>
        <v>203.69</v>
      </c>
      <c r="C8" s="24">
        <f>SUM(C4:C7)</f>
        <v>7270</v>
      </c>
      <c r="D8" s="24">
        <v>39.9</v>
      </c>
      <c r="E8" s="21"/>
      <c r="F8" s="22"/>
      <c r="G8" s="22"/>
      <c r="H8" s="22"/>
    </row>
    <row r="10" ht="21">
      <c r="A10" s="9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42413</v>
      </c>
      <c r="C1" s="7"/>
      <c r="D1" s="8" t="s">
        <v>127</v>
      </c>
      <c r="E1" s="83">
        <v>87.98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4.09</v>
      </c>
      <c r="C4" s="18">
        <v>130</v>
      </c>
      <c r="D4" s="16">
        <f aca="true" t="shared" si="0" ref="D4:D13">C4/$C$14*$D$14</f>
        <v>0.6100704934541793</v>
      </c>
      <c r="E4" s="16">
        <f aca="true" t="shared" si="1" ref="E4:E11">B4+D4</f>
        <v>4.700070493454179</v>
      </c>
      <c r="F4" s="92">
        <f aca="true" t="shared" si="2" ref="F4:F11">E4*$E$1</f>
        <v>413.5122020140987</v>
      </c>
      <c r="G4" s="98">
        <v>405</v>
      </c>
      <c r="H4" s="19">
        <f aca="true" t="shared" si="3" ref="H4:H11">G4-F4</f>
        <v>-8.512202014098705</v>
      </c>
      <c r="I4" s="95"/>
    </row>
    <row r="5" spans="1:8" ht="15">
      <c r="A5" s="2" t="s">
        <v>51</v>
      </c>
      <c r="B5" s="18">
        <v>10.92</v>
      </c>
      <c r="C5" s="18">
        <v>250</v>
      </c>
      <c r="D5" s="16">
        <f t="shared" si="0"/>
        <v>1.1732124874118834</v>
      </c>
      <c r="E5" s="16">
        <f t="shared" si="1"/>
        <v>12.093212487411883</v>
      </c>
      <c r="F5" s="92">
        <f t="shared" si="2"/>
        <v>1063.9608346424975</v>
      </c>
      <c r="G5" s="98">
        <v>1110</v>
      </c>
      <c r="H5" s="19">
        <f t="shared" si="3"/>
        <v>46.0391653575025</v>
      </c>
    </row>
    <row r="6" spans="1:8" ht="15">
      <c r="A6" s="2" t="s">
        <v>349</v>
      </c>
      <c r="B6" s="18">
        <v>4.68</v>
      </c>
      <c r="C6" s="18">
        <v>570</v>
      </c>
      <c r="D6" s="16">
        <f t="shared" si="0"/>
        <v>2.674924471299094</v>
      </c>
      <c r="E6" s="16">
        <f t="shared" si="1"/>
        <v>7.3549244712990935</v>
      </c>
      <c r="F6" s="92">
        <f t="shared" si="2"/>
        <v>647.0862549848943</v>
      </c>
      <c r="G6" s="99">
        <v>673</v>
      </c>
      <c r="H6" s="19">
        <f t="shared" si="3"/>
        <v>25.913745015105746</v>
      </c>
    </row>
    <row r="7" spans="1:9" ht="15">
      <c r="A7" s="3" t="s">
        <v>350</v>
      </c>
      <c r="B7" s="18">
        <v>13.28</v>
      </c>
      <c r="C7" s="18">
        <v>1150</v>
      </c>
      <c r="D7" s="16">
        <f>C7/$C$14*$D$14</f>
        <v>5.396777442094663</v>
      </c>
      <c r="E7" s="16">
        <f t="shared" si="1"/>
        <v>18.67677744209466</v>
      </c>
      <c r="F7" s="92">
        <f t="shared" si="2"/>
        <v>1643.1828793554882</v>
      </c>
      <c r="G7" s="98">
        <f>1688-35-10</f>
        <v>1643</v>
      </c>
      <c r="H7" s="19">
        <f t="shared" si="3"/>
        <v>-0.18287935548823953</v>
      </c>
      <c r="I7" s="95" t="s">
        <v>362</v>
      </c>
    </row>
    <row r="8" spans="1:8" ht="15">
      <c r="A8" s="2" t="s">
        <v>351</v>
      </c>
      <c r="B8" s="18">
        <v>14.56</v>
      </c>
      <c r="C8" s="18">
        <v>570</v>
      </c>
      <c r="D8" s="16">
        <f>C8/$C$14*$D$14</f>
        <v>2.674924471299094</v>
      </c>
      <c r="E8" s="16">
        <f t="shared" si="1"/>
        <v>17.234924471299095</v>
      </c>
      <c r="F8" s="92">
        <f t="shared" si="2"/>
        <v>1516.3286549848945</v>
      </c>
      <c r="G8" s="99">
        <v>1578</v>
      </c>
      <c r="H8" s="19">
        <f t="shared" si="3"/>
        <v>61.671345015105544</v>
      </c>
    </row>
    <row r="9" spans="1:8" ht="15">
      <c r="A9" s="2" t="s">
        <v>352</v>
      </c>
      <c r="B9" s="18">
        <v>13.25</v>
      </c>
      <c r="C9" s="18">
        <v>45</v>
      </c>
      <c r="D9" s="16">
        <f>C9/$C$14*$D$14</f>
        <v>0.21117824773413899</v>
      </c>
      <c r="E9" s="16">
        <f t="shared" si="1"/>
        <v>13.46117824773414</v>
      </c>
      <c r="F9" s="92">
        <f t="shared" si="2"/>
        <v>1184.3144622356497</v>
      </c>
      <c r="G9" s="98">
        <v>1300</v>
      </c>
      <c r="H9" s="19">
        <f t="shared" si="3"/>
        <v>115.68553776435033</v>
      </c>
    </row>
    <row r="10" spans="1:8" ht="15">
      <c r="A10" s="2" t="s">
        <v>353</v>
      </c>
      <c r="B10" s="18">
        <v>3.89</v>
      </c>
      <c r="C10" s="18">
        <v>60</v>
      </c>
      <c r="D10" s="16">
        <f t="shared" si="0"/>
        <v>0.28157099697885196</v>
      </c>
      <c r="E10" s="16">
        <f t="shared" si="1"/>
        <v>4.171570996978852</v>
      </c>
      <c r="F10" s="92">
        <f t="shared" si="2"/>
        <v>367.01481631419944</v>
      </c>
      <c r="G10" s="98">
        <v>382</v>
      </c>
      <c r="H10" s="19">
        <f t="shared" si="3"/>
        <v>14.985183685800564</v>
      </c>
    </row>
    <row r="11" spans="1:8" ht="15">
      <c r="A11" s="3" t="s">
        <v>354</v>
      </c>
      <c r="B11" s="18">
        <v>7.44</v>
      </c>
      <c r="C11" s="18">
        <v>1150</v>
      </c>
      <c r="D11" s="16">
        <f t="shared" si="0"/>
        <v>5.396777442094663</v>
      </c>
      <c r="E11" s="16">
        <f t="shared" si="1"/>
        <v>12.836777442094665</v>
      </c>
      <c r="F11" s="92">
        <f t="shared" si="2"/>
        <v>1129.3796793554886</v>
      </c>
      <c r="G11" s="98">
        <v>1153</v>
      </c>
      <c r="H11" s="19">
        <f t="shared" si="3"/>
        <v>23.620320644511366</v>
      </c>
    </row>
    <row r="12" spans="1:8" ht="15">
      <c r="A12" s="2" t="s">
        <v>96</v>
      </c>
      <c r="B12" s="18">
        <v>79.33</v>
      </c>
      <c r="C12" s="18">
        <v>1700</v>
      </c>
      <c r="D12" s="16">
        <f>C12/$C$14*$D$14</f>
        <v>7.977844914400806</v>
      </c>
      <c r="E12" s="16">
        <f>B12+D12</f>
        <v>87.3078449144008</v>
      </c>
      <c r="F12" s="92">
        <f>E12*$E$1</f>
        <v>7681.344195568983</v>
      </c>
      <c r="G12" s="98">
        <v>8028</v>
      </c>
      <c r="H12" s="19">
        <f>G12-F12</f>
        <v>346.6558044310168</v>
      </c>
    </row>
    <row r="13" spans="1:8" ht="15">
      <c r="A13" s="2" t="s">
        <v>138</v>
      </c>
      <c r="B13" s="24"/>
      <c r="C13" s="18">
        <v>9270</v>
      </c>
      <c r="D13" s="16">
        <f t="shared" si="0"/>
        <v>43.50271903323264</v>
      </c>
      <c r="E13" s="21"/>
      <c r="F13" s="22"/>
      <c r="G13" s="22"/>
      <c r="H13" s="22"/>
    </row>
    <row r="14" spans="1:8" ht="15">
      <c r="A14" s="23"/>
      <c r="B14" s="24">
        <f>SUM(B4:B13)</f>
        <v>151.44</v>
      </c>
      <c r="C14" s="24">
        <f>SUM(C4:C13)</f>
        <v>14895</v>
      </c>
      <c r="D14" s="24">
        <v>69.9</v>
      </c>
      <c r="E14" s="21"/>
      <c r="F14" s="22"/>
      <c r="G14" s="22"/>
      <c r="H14" s="22"/>
    </row>
    <row r="18" ht="21">
      <c r="A18" s="9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42430</v>
      </c>
      <c r="C1" s="7"/>
      <c r="D1" s="8" t="s">
        <v>127</v>
      </c>
      <c r="E1" s="83">
        <v>82.23</v>
      </c>
      <c r="F1" s="10" t="s">
        <v>128</v>
      </c>
      <c r="G1" s="10"/>
      <c r="H1" s="10"/>
    </row>
    <row r="2" spans="1:8" ht="15">
      <c r="A2" s="11" t="s">
        <v>356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357</v>
      </c>
      <c r="B4" s="18">
        <v>7.7</v>
      </c>
      <c r="C4" s="18">
        <v>360</v>
      </c>
      <c r="D4" s="16">
        <f aca="true" t="shared" si="0" ref="D4:D11">C4/$C$12*$D$12</f>
        <v>1.6571616727033258</v>
      </c>
      <c r="E4" s="16">
        <f aca="true" t="shared" si="1" ref="E4:E10">B4+D4</f>
        <v>9.357161672703326</v>
      </c>
      <c r="F4" s="92">
        <f aca="true" t="shared" si="2" ref="F4:F10">E4*$E$1</f>
        <v>769.4394043463946</v>
      </c>
      <c r="G4" s="99">
        <v>791</v>
      </c>
      <c r="H4" s="19">
        <f aca="true" t="shared" si="3" ref="H4:H10">G4-F4</f>
        <v>21.560595653605446</v>
      </c>
      <c r="I4" s="95"/>
    </row>
    <row r="5" spans="1:8" ht="15">
      <c r="A5" s="2" t="s">
        <v>335</v>
      </c>
      <c r="B5" s="18">
        <v>69.1</v>
      </c>
      <c r="C5" s="18">
        <v>360</v>
      </c>
      <c r="D5" s="16">
        <f t="shared" si="0"/>
        <v>1.6571616727033258</v>
      </c>
      <c r="E5" s="16">
        <f t="shared" si="1"/>
        <v>70.75716167270332</v>
      </c>
      <c r="F5" s="92">
        <f t="shared" si="2"/>
        <v>5818.361404346394</v>
      </c>
      <c r="G5" s="99">
        <v>5996</v>
      </c>
      <c r="H5" s="19">
        <f t="shared" si="3"/>
        <v>177.638595653606</v>
      </c>
    </row>
    <row r="6" spans="1:8" ht="15">
      <c r="A6" s="2" t="s">
        <v>247</v>
      </c>
      <c r="B6" s="18">
        <v>10.54</v>
      </c>
      <c r="C6" s="18">
        <v>240</v>
      </c>
      <c r="D6" s="16">
        <f t="shared" si="0"/>
        <v>1.104774448468884</v>
      </c>
      <c r="E6" s="16">
        <f t="shared" si="1"/>
        <v>11.644774448468883</v>
      </c>
      <c r="F6" s="92">
        <f t="shared" si="2"/>
        <v>957.5498028975964</v>
      </c>
      <c r="G6" s="99">
        <v>972</v>
      </c>
      <c r="H6" s="19">
        <f t="shared" si="3"/>
        <v>14.45019710240365</v>
      </c>
    </row>
    <row r="7" spans="1:9" ht="15">
      <c r="A7" s="3" t="s">
        <v>96</v>
      </c>
      <c r="B7" s="18">
        <v>17.23</v>
      </c>
      <c r="C7" s="18">
        <v>1150</v>
      </c>
      <c r="D7" s="16">
        <f t="shared" si="0"/>
        <v>5.293710898913401</v>
      </c>
      <c r="E7" s="16">
        <f t="shared" si="1"/>
        <v>22.5237108989134</v>
      </c>
      <c r="F7" s="92">
        <f t="shared" si="2"/>
        <v>1852.124747217649</v>
      </c>
      <c r="G7" s="98">
        <v>1600</v>
      </c>
      <c r="H7" s="19">
        <f t="shared" si="3"/>
        <v>-252.12474721764897</v>
      </c>
      <c r="I7" s="95"/>
    </row>
    <row r="8" spans="1:8" ht="15">
      <c r="A8" s="2" t="s">
        <v>339</v>
      </c>
      <c r="B8" s="18">
        <v>16.4</v>
      </c>
      <c r="C8" s="18">
        <v>180</v>
      </c>
      <c r="D8" s="16">
        <f t="shared" si="0"/>
        <v>0.8285808363516629</v>
      </c>
      <c r="E8" s="16">
        <f t="shared" si="1"/>
        <v>17.22858083635166</v>
      </c>
      <c r="F8" s="92">
        <f t="shared" si="2"/>
        <v>1416.7062021731972</v>
      </c>
      <c r="G8" s="99">
        <v>1500</v>
      </c>
      <c r="H8" s="19">
        <f t="shared" si="3"/>
        <v>83.2937978268028</v>
      </c>
    </row>
    <row r="9" spans="1:8" ht="15">
      <c r="A9" s="2" t="s">
        <v>358</v>
      </c>
      <c r="B9" s="18">
        <v>12.672</v>
      </c>
      <c r="C9" s="18">
        <v>115</v>
      </c>
      <c r="D9" s="16">
        <f t="shared" si="0"/>
        <v>0.5293710898913402</v>
      </c>
      <c r="E9" s="16">
        <f t="shared" si="1"/>
        <v>13.20137108989134</v>
      </c>
      <c r="F9" s="92">
        <f t="shared" si="2"/>
        <v>1085.548744721765</v>
      </c>
      <c r="G9" s="98">
        <v>1114</v>
      </c>
      <c r="H9" s="19">
        <f t="shared" si="3"/>
        <v>28.451255278235067</v>
      </c>
    </row>
    <row r="10" spans="1:8" ht="15">
      <c r="A10" s="2" t="s">
        <v>359</v>
      </c>
      <c r="B10" s="18">
        <v>8.162</v>
      </c>
      <c r="C10" s="18">
        <v>170</v>
      </c>
      <c r="D10" s="16">
        <f t="shared" si="0"/>
        <v>0.7825485676654594</v>
      </c>
      <c r="E10" s="16">
        <f t="shared" si="1"/>
        <v>8.94454856766546</v>
      </c>
      <c r="F10" s="92">
        <f t="shared" si="2"/>
        <v>735.5102287191309</v>
      </c>
      <c r="G10" s="99">
        <v>747</v>
      </c>
      <c r="H10" s="19">
        <f t="shared" si="3"/>
        <v>11.48977128086915</v>
      </c>
    </row>
    <row r="11" spans="1:8" ht="15">
      <c r="A11" s="2" t="s">
        <v>138</v>
      </c>
      <c r="B11" s="24"/>
      <c r="C11" s="18">
        <v>12610</v>
      </c>
      <c r="D11" s="16">
        <f t="shared" si="0"/>
        <v>58.04669081330261</v>
      </c>
      <c r="E11" s="21"/>
      <c r="F11" s="22"/>
      <c r="G11" s="100"/>
      <c r="H11" s="22"/>
    </row>
    <row r="12" spans="1:8" ht="15">
      <c r="A12" s="23"/>
      <c r="B12" s="24">
        <f>SUM(B4:B11)</f>
        <v>141.804</v>
      </c>
      <c r="C12" s="24">
        <f>SUM(C4:C11)</f>
        <v>15185</v>
      </c>
      <c r="D12" s="24">
        <v>69.9</v>
      </c>
      <c r="E12" s="21"/>
      <c r="F12" s="22"/>
      <c r="G12" s="22"/>
      <c r="H12" s="22"/>
    </row>
    <row r="16" ht="21">
      <c r="A16" s="9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7">
      <selection activeCell="A17" sqref="A17:IV18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42557</v>
      </c>
      <c r="C1" s="7"/>
      <c r="D1" s="8" t="s">
        <v>127</v>
      </c>
      <c r="E1" s="83">
        <v>72.965</v>
      </c>
      <c r="F1" s="10" t="s">
        <v>128</v>
      </c>
      <c r="G1" s="10"/>
      <c r="H1" s="10"/>
    </row>
    <row r="2" spans="1:8" ht="15">
      <c r="A2" s="11" t="s">
        <v>363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98</v>
      </c>
      <c r="B4" s="18">
        <v>19.8</v>
      </c>
      <c r="C4" s="18">
        <v>200</v>
      </c>
      <c r="D4" s="16">
        <f>C4/$C$15*$D$15</f>
        <v>0.9883351007423119</v>
      </c>
      <c r="E4" s="16">
        <f aca="true" t="shared" si="0" ref="E4:E10">B4+D4</f>
        <v>20.788335100742312</v>
      </c>
      <c r="F4" s="92">
        <f aca="true" t="shared" si="1" ref="F4:F10">E4*$E$1</f>
        <v>1516.8208706256628</v>
      </c>
      <c r="G4" s="99">
        <v>1521</v>
      </c>
      <c r="H4" s="19">
        <f aca="true" t="shared" si="2" ref="H4:H10">G4-F4</f>
        <v>4.179129374337208</v>
      </c>
      <c r="I4" s="95"/>
    </row>
    <row r="5" spans="1:8" ht="15">
      <c r="A5" s="2" t="s">
        <v>364</v>
      </c>
      <c r="B5" s="18">
        <v>7.6</v>
      </c>
      <c r="C5" s="18">
        <v>90</v>
      </c>
      <c r="D5" s="16">
        <f aca="true" t="shared" si="3" ref="D5:D14">C5/$C$15*$D$15</f>
        <v>0.4447507953340403</v>
      </c>
      <c r="E5" s="16">
        <f t="shared" si="0"/>
        <v>8.04475079533404</v>
      </c>
      <c r="F5" s="92">
        <f t="shared" si="1"/>
        <v>586.9852417815482</v>
      </c>
      <c r="G5" s="99">
        <v>585</v>
      </c>
      <c r="H5" s="19">
        <f t="shared" si="2"/>
        <v>-1.9852417815482113</v>
      </c>
    </row>
    <row r="6" spans="1:8" ht="15">
      <c r="A6" s="2" t="s">
        <v>305</v>
      </c>
      <c r="B6" s="18">
        <v>4.18</v>
      </c>
      <c r="C6" s="18">
        <v>130</v>
      </c>
      <c r="D6" s="16">
        <f t="shared" si="3"/>
        <v>0.6424178154825028</v>
      </c>
      <c r="E6" s="16">
        <f t="shared" si="0"/>
        <v>4.822417815482503</v>
      </c>
      <c r="F6" s="92">
        <f t="shared" si="1"/>
        <v>351.8677159066808</v>
      </c>
      <c r="G6" s="99">
        <v>343</v>
      </c>
      <c r="H6" s="19">
        <f t="shared" si="2"/>
        <v>-8.867715906680814</v>
      </c>
    </row>
    <row r="7" spans="1:9" ht="15">
      <c r="A7" s="3" t="s">
        <v>73</v>
      </c>
      <c r="B7" s="18">
        <v>9.31</v>
      </c>
      <c r="C7" s="18">
        <v>100</v>
      </c>
      <c r="D7" s="16">
        <f t="shared" si="3"/>
        <v>0.49416755037115595</v>
      </c>
      <c r="E7" s="16">
        <f t="shared" si="0"/>
        <v>9.804167550371156</v>
      </c>
      <c r="F7" s="92">
        <f t="shared" si="1"/>
        <v>715.3610853128315</v>
      </c>
      <c r="G7" s="99">
        <v>717</v>
      </c>
      <c r="H7" s="19">
        <f t="shared" si="2"/>
        <v>1.6389146871684943</v>
      </c>
      <c r="I7" s="95"/>
    </row>
    <row r="8" spans="1:8" ht="15">
      <c r="A8" s="2" t="s">
        <v>365</v>
      </c>
      <c r="B8" s="18">
        <v>11.88</v>
      </c>
      <c r="C8" s="18">
        <v>200</v>
      </c>
      <c r="D8" s="16">
        <f t="shared" si="3"/>
        <v>0.9883351007423119</v>
      </c>
      <c r="E8" s="16">
        <f t="shared" si="0"/>
        <v>12.868335100742312</v>
      </c>
      <c r="F8" s="92">
        <f t="shared" si="1"/>
        <v>938.9380706256628</v>
      </c>
      <c r="G8" s="99">
        <v>942</v>
      </c>
      <c r="H8" s="19">
        <f t="shared" si="2"/>
        <v>3.0619293743371827</v>
      </c>
    </row>
    <row r="9" spans="1:8" ht="15">
      <c r="A9" s="2" t="s">
        <v>366</v>
      </c>
      <c r="B9" s="18">
        <v>2.09</v>
      </c>
      <c r="C9" s="18">
        <v>100</v>
      </c>
      <c r="D9" s="16">
        <f t="shared" si="3"/>
        <v>0.49416755037115595</v>
      </c>
      <c r="E9" s="16">
        <f t="shared" si="0"/>
        <v>2.5841675503711556</v>
      </c>
      <c r="F9" s="92">
        <f t="shared" si="1"/>
        <v>188.5537853128314</v>
      </c>
      <c r="G9" s="99">
        <v>190</v>
      </c>
      <c r="H9" s="19">
        <f t="shared" si="2"/>
        <v>1.446214687168606</v>
      </c>
    </row>
    <row r="10" spans="1:8" ht="15">
      <c r="A10" s="2" t="s">
        <v>367</v>
      </c>
      <c r="B10" s="18">
        <v>7.03</v>
      </c>
      <c r="C10" s="18">
        <v>560</v>
      </c>
      <c r="D10" s="16">
        <f t="shared" si="3"/>
        <v>2.7673382820784735</v>
      </c>
      <c r="E10" s="16">
        <f t="shared" si="0"/>
        <v>9.797338282078474</v>
      </c>
      <c r="F10" s="92">
        <f t="shared" si="1"/>
        <v>714.8627877518559</v>
      </c>
      <c r="G10" s="99">
        <v>722</v>
      </c>
      <c r="H10" s="19">
        <f t="shared" si="2"/>
        <v>7.137212248144124</v>
      </c>
    </row>
    <row r="11" spans="1:8" ht="15">
      <c r="A11" s="2" t="s">
        <v>87</v>
      </c>
      <c r="B11" s="18">
        <v>15.6</v>
      </c>
      <c r="C11" s="18">
        <v>365</v>
      </c>
      <c r="D11" s="16">
        <f>C11/$C$15*$D$15</f>
        <v>1.8037115588547192</v>
      </c>
      <c r="E11" s="16">
        <f>B11+D11</f>
        <v>17.40371155885472</v>
      </c>
      <c r="F11" s="92">
        <f>E11*$E$1</f>
        <v>1269.8618138918348</v>
      </c>
      <c r="G11" s="99">
        <v>1220</v>
      </c>
      <c r="H11" s="19">
        <f>G11-F11</f>
        <v>-49.8618138918348</v>
      </c>
    </row>
    <row r="12" spans="1:9" ht="15">
      <c r="A12" s="2" t="s">
        <v>368</v>
      </c>
      <c r="B12" s="18">
        <v>66.41</v>
      </c>
      <c r="C12" s="18">
        <v>3685</v>
      </c>
      <c r="D12" s="16">
        <f>C12/$C$15*$D$15</f>
        <v>18.210074231177096</v>
      </c>
      <c r="E12" s="16">
        <f>B12+D12</f>
        <v>84.62007423117709</v>
      </c>
      <c r="F12" s="92">
        <f>E12*$E$1</f>
        <v>6174.303716277836</v>
      </c>
      <c r="G12" s="99">
        <f>1000+5288-114</f>
        <v>6174</v>
      </c>
      <c r="H12" s="19">
        <f>G12-F12</f>
        <v>-0.30371627783642907</v>
      </c>
      <c r="I12" t="s">
        <v>371</v>
      </c>
    </row>
    <row r="13" spans="1:8" ht="15">
      <c r="A13" s="2" t="s">
        <v>353</v>
      </c>
      <c r="B13" s="18">
        <v>7.92</v>
      </c>
      <c r="C13" s="18">
        <v>720</v>
      </c>
      <c r="D13" s="16">
        <f>C13/$C$15*$D$15</f>
        <v>3.5580063626723226</v>
      </c>
      <c r="E13" s="16">
        <f>B13+D13</f>
        <v>11.478006362672323</v>
      </c>
      <c r="F13" s="92">
        <f>E13*$E$1</f>
        <v>837.4927342523861</v>
      </c>
      <c r="G13" s="99">
        <v>846</v>
      </c>
      <c r="H13" s="19">
        <f>G13-F13</f>
        <v>8.507265747613928</v>
      </c>
    </row>
    <row r="14" spans="1:8" ht="15">
      <c r="A14" s="2" t="s">
        <v>138</v>
      </c>
      <c r="B14" s="24"/>
      <c r="C14" s="18">
        <v>7995</v>
      </c>
      <c r="D14" s="16">
        <f t="shared" si="3"/>
        <v>39.50869565217391</v>
      </c>
      <c r="E14" s="21"/>
      <c r="F14" s="22"/>
      <c r="G14" s="100"/>
      <c r="H14" s="22"/>
    </row>
    <row r="15" spans="1:8" ht="15">
      <c r="A15" s="23"/>
      <c r="B15" s="24">
        <f>SUM(B4:B14)</f>
        <v>151.81999999999996</v>
      </c>
      <c r="C15" s="24">
        <f>SUM(C4:C14)</f>
        <v>14145</v>
      </c>
      <c r="D15" s="24">
        <v>69.9</v>
      </c>
      <c r="E15" s="21"/>
      <c r="F15" s="22"/>
      <c r="G15" s="22"/>
      <c r="H15" s="22"/>
    </row>
    <row r="17" ht="28.5">
      <c r="A17" s="88"/>
    </row>
    <row r="18" ht="28.5">
      <c r="A18" s="88"/>
    </row>
    <row r="19" ht="21">
      <c r="A19" s="93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6.5742187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42678</v>
      </c>
      <c r="C1" s="7"/>
      <c r="D1" s="8" t="s">
        <v>127</v>
      </c>
      <c r="E1" s="83">
        <v>72.78</v>
      </c>
      <c r="F1" s="10" t="s">
        <v>128</v>
      </c>
      <c r="G1" s="10"/>
      <c r="H1" s="10"/>
    </row>
    <row r="2" spans="1:8" ht="15">
      <c r="A2" s="11" t="s">
        <v>372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353</v>
      </c>
      <c r="B4" s="18">
        <v>52.2</v>
      </c>
      <c r="C4" s="18">
        <v>715</v>
      </c>
      <c r="D4" s="16">
        <f aca="true" t="shared" si="0" ref="D4:D12">C4/$C$13*$D$13</f>
        <v>3.6002522704339053</v>
      </c>
      <c r="E4" s="16">
        <f aca="true" t="shared" si="1" ref="E4:E10">B4+D4</f>
        <v>55.80025227043391</v>
      </c>
      <c r="F4" s="92">
        <f aca="true" t="shared" si="2" ref="F4:F10">E4*$E$1</f>
        <v>4061.14236024218</v>
      </c>
      <c r="G4" s="99">
        <f>4615-577</f>
        <v>4038</v>
      </c>
      <c r="H4" s="19">
        <f aca="true" t="shared" si="3" ref="H4:H10">G4-F4</f>
        <v>-23.142360242180075</v>
      </c>
      <c r="I4" s="95" t="s">
        <v>380</v>
      </c>
    </row>
    <row r="5" spans="1:8" ht="15">
      <c r="A5" s="2" t="s">
        <v>32</v>
      </c>
      <c r="B5" s="18">
        <v>9.59</v>
      </c>
      <c r="C5" s="18">
        <v>550</v>
      </c>
      <c r="D5" s="16">
        <f t="shared" si="0"/>
        <v>2.769424823410696</v>
      </c>
      <c r="E5" s="16">
        <f t="shared" si="1"/>
        <v>12.359424823410695</v>
      </c>
      <c r="F5" s="92">
        <f t="shared" si="2"/>
        <v>899.5189386478304</v>
      </c>
      <c r="G5" s="99">
        <v>950</v>
      </c>
      <c r="H5" s="19">
        <f t="shared" si="3"/>
        <v>50.481061352169604</v>
      </c>
    </row>
    <row r="6" spans="1:8" ht="15">
      <c r="A6" s="2" t="s">
        <v>374</v>
      </c>
      <c r="B6" s="18">
        <v>15.51</v>
      </c>
      <c r="C6" s="18">
        <v>780</v>
      </c>
      <c r="D6" s="16">
        <f t="shared" si="0"/>
        <v>3.927547931382442</v>
      </c>
      <c r="E6" s="16">
        <f t="shared" si="1"/>
        <v>19.43754793138244</v>
      </c>
      <c r="F6" s="92">
        <f t="shared" si="2"/>
        <v>1414.664738446014</v>
      </c>
      <c r="G6" s="99">
        <v>1402</v>
      </c>
      <c r="H6" s="19">
        <f t="shared" si="3"/>
        <v>-12.664738446014098</v>
      </c>
    </row>
    <row r="7" spans="1:9" ht="15">
      <c r="A7" s="3" t="s">
        <v>121</v>
      </c>
      <c r="B7" s="18">
        <v>13.55</v>
      </c>
      <c r="C7" s="18">
        <v>940</v>
      </c>
      <c r="D7" s="16">
        <f t="shared" si="0"/>
        <v>4.733198789101917</v>
      </c>
      <c r="E7" s="16">
        <f t="shared" si="1"/>
        <v>18.283198789101917</v>
      </c>
      <c r="F7" s="92">
        <f t="shared" si="2"/>
        <v>1330.6512078708374</v>
      </c>
      <c r="G7" s="99">
        <f>1301+30</f>
        <v>1331</v>
      </c>
      <c r="H7" s="19">
        <f t="shared" si="3"/>
        <v>0.3487921291625753</v>
      </c>
      <c r="I7" s="95"/>
    </row>
    <row r="8" spans="1:8" ht="15">
      <c r="A8" s="2" t="s">
        <v>6</v>
      </c>
      <c r="B8" s="18">
        <v>31.5</v>
      </c>
      <c r="C8" s="18">
        <v>85</v>
      </c>
      <c r="D8" s="16">
        <f t="shared" si="0"/>
        <v>0.4280020181634712</v>
      </c>
      <c r="E8" s="16">
        <f t="shared" si="1"/>
        <v>31.928002018163472</v>
      </c>
      <c r="F8" s="92">
        <f t="shared" si="2"/>
        <v>2323.7199868819375</v>
      </c>
      <c r="G8" s="103">
        <f>2300+20</f>
        <v>2320</v>
      </c>
      <c r="H8" s="19">
        <f t="shared" si="3"/>
        <v>-3.7199868819375297</v>
      </c>
    </row>
    <row r="9" spans="1:8" ht="15">
      <c r="A9" s="2" t="s">
        <v>375</v>
      </c>
      <c r="B9" s="18">
        <v>16.64</v>
      </c>
      <c r="C9" s="18">
        <v>750</v>
      </c>
      <c r="D9" s="16">
        <f t="shared" si="0"/>
        <v>3.77648839556004</v>
      </c>
      <c r="E9" s="16">
        <f t="shared" si="1"/>
        <v>20.41648839556004</v>
      </c>
      <c r="F9" s="92">
        <f t="shared" si="2"/>
        <v>1485.9120254288598</v>
      </c>
      <c r="G9" s="103">
        <v>1462</v>
      </c>
      <c r="H9" s="19">
        <f t="shared" si="3"/>
        <v>-23.912025428859806</v>
      </c>
    </row>
    <row r="10" spans="1:8" ht="15">
      <c r="A10" s="2" t="s">
        <v>376</v>
      </c>
      <c r="B10" s="18">
        <v>92</v>
      </c>
      <c r="C10" s="18">
        <v>580</v>
      </c>
      <c r="D10" s="16">
        <f t="shared" si="0"/>
        <v>2.920484359233098</v>
      </c>
      <c r="E10" s="16">
        <f t="shared" si="1"/>
        <v>94.9204843592331</v>
      </c>
      <c r="F10" s="92">
        <f t="shared" si="2"/>
        <v>6908.312851664985</v>
      </c>
      <c r="G10" s="99">
        <f>6839+69</f>
        <v>6908</v>
      </c>
      <c r="H10" s="19">
        <f t="shared" si="3"/>
        <v>-0.3128516649849189</v>
      </c>
    </row>
    <row r="11" spans="1:8" ht="15">
      <c r="A11" s="2" t="s">
        <v>96</v>
      </c>
      <c r="B11" s="18">
        <v>8.51</v>
      </c>
      <c r="C11" s="18">
        <v>560</v>
      </c>
      <c r="D11" s="16">
        <f t="shared" si="0"/>
        <v>2.8197780020181633</v>
      </c>
      <c r="E11" s="16">
        <f>B11+D11</f>
        <v>11.329778002018163</v>
      </c>
      <c r="F11" s="92">
        <f>E11*$E$1</f>
        <v>824.5812429868819</v>
      </c>
      <c r="G11" s="103">
        <f>748+12</f>
        <v>760</v>
      </c>
      <c r="H11" s="19">
        <f>G11-F11</f>
        <v>-64.58124298688188</v>
      </c>
    </row>
    <row r="12" spans="1:8" ht="15">
      <c r="A12" s="2" t="s">
        <v>138</v>
      </c>
      <c r="B12" s="24"/>
      <c r="C12" s="18">
        <v>4950</v>
      </c>
      <c r="D12" s="16">
        <f t="shared" si="0"/>
        <v>24.924823410696266</v>
      </c>
      <c r="E12" s="21"/>
      <c r="F12" s="22"/>
      <c r="G12" s="100"/>
      <c r="H12" s="22"/>
    </row>
    <row r="13" spans="1:8" ht="15">
      <c r="A13" s="23"/>
      <c r="B13" s="24">
        <f>SUM(B4:B12)</f>
        <v>239.5</v>
      </c>
      <c r="C13" s="24">
        <f>SUM(C4:C12)</f>
        <v>9910</v>
      </c>
      <c r="D13" s="24">
        <v>49.9</v>
      </c>
      <c r="E13" s="21"/>
      <c r="F13" s="22"/>
      <c r="G13" s="22"/>
      <c r="H13" s="22"/>
    </row>
    <row r="17" ht="21">
      <c r="A17" s="9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6.57421875" style="0" customWidth="1"/>
    <col min="2" max="2" width="14.421875" style="0" bestFit="1" customWidth="1"/>
    <col min="7" max="7" width="11.28125" style="0" customWidth="1"/>
    <col min="8" max="8" width="12.140625" style="0" customWidth="1"/>
  </cols>
  <sheetData>
    <row r="1" spans="1:8" ht="21">
      <c r="A1" s="6" t="s">
        <v>126</v>
      </c>
      <c r="B1" s="7">
        <v>42702</v>
      </c>
      <c r="C1" s="7"/>
      <c r="D1" s="8" t="s">
        <v>127</v>
      </c>
      <c r="E1" s="83">
        <v>64.76</v>
      </c>
      <c r="F1" s="10" t="s">
        <v>128</v>
      </c>
      <c r="G1" s="10"/>
      <c r="H1" s="10"/>
    </row>
    <row r="2" spans="1:8" ht="15">
      <c r="A2" s="11" t="s">
        <v>381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96</v>
      </c>
      <c r="B4" s="18">
        <v>65.3</v>
      </c>
      <c r="C4" s="18">
        <v>550</v>
      </c>
      <c r="D4" s="16">
        <f aca="true" t="shared" si="0" ref="D4:D13">C4/$C$14*$D$14</f>
        <v>2.779240506329114</v>
      </c>
      <c r="E4" s="16">
        <f aca="true" t="shared" si="1" ref="E4:E10">B4+D4</f>
        <v>68.07924050632911</v>
      </c>
      <c r="F4" s="92">
        <f aca="true" t="shared" si="2" ref="F4:F10">E4*$E$1</f>
        <v>4408.811615189874</v>
      </c>
      <c r="G4" s="99">
        <v>4425</v>
      </c>
      <c r="H4" s="19">
        <f aca="true" t="shared" si="3" ref="H4:H10">G4-F4</f>
        <v>16.18838481012608</v>
      </c>
      <c r="I4" s="95"/>
    </row>
    <row r="5" spans="1:8" ht="15">
      <c r="A5" s="2" t="s">
        <v>305</v>
      </c>
      <c r="B5" s="18">
        <v>1.88</v>
      </c>
      <c r="C5" s="18">
        <v>65</v>
      </c>
      <c r="D5" s="16">
        <f t="shared" si="0"/>
        <v>0.3284556962025316</v>
      </c>
      <c r="E5" s="16">
        <f t="shared" si="1"/>
        <v>2.2084556962025315</v>
      </c>
      <c r="F5" s="92">
        <f t="shared" si="2"/>
        <v>143.01959088607595</v>
      </c>
      <c r="G5" s="99">
        <v>161</v>
      </c>
      <c r="H5" s="19">
        <f t="shared" si="3"/>
        <v>17.980409113924054</v>
      </c>
    </row>
    <row r="6" spans="1:8" ht="15">
      <c r="A6" s="2" t="s">
        <v>6</v>
      </c>
      <c r="B6" s="18">
        <v>28.89</v>
      </c>
      <c r="C6" s="18">
        <v>250</v>
      </c>
      <c r="D6" s="16">
        <f t="shared" si="0"/>
        <v>1.2632911392405062</v>
      </c>
      <c r="E6" s="16">
        <f t="shared" si="1"/>
        <v>30.15329113924051</v>
      </c>
      <c r="F6" s="92">
        <f t="shared" si="2"/>
        <v>1952.7271341772155</v>
      </c>
      <c r="G6" s="99">
        <v>1960</v>
      </c>
      <c r="H6" s="19">
        <f t="shared" si="3"/>
        <v>7.272865822784524</v>
      </c>
    </row>
    <row r="7" spans="1:9" ht="15">
      <c r="A7" s="3" t="s">
        <v>382</v>
      </c>
      <c r="B7" s="18">
        <v>21.3</v>
      </c>
      <c r="C7" s="18">
        <v>100</v>
      </c>
      <c r="D7" s="16">
        <f t="shared" si="0"/>
        <v>0.5053164556962025</v>
      </c>
      <c r="E7" s="16">
        <f t="shared" si="1"/>
        <v>21.805316455696204</v>
      </c>
      <c r="F7" s="92">
        <f t="shared" si="2"/>
        <v>1412.1122936708862</v>
      </c>
      <c r="G7" s="99">
        <v>1418</v>
      </c>
      <c r="H7" s="19">
        <f t="shared" si="3"/>
        <v>5.887706329113826</v>
      </c>
      <c r="I7" s="95"/>
    </row>
    <row r="8" spans="1:8" ht="15">
      <c r="A8" s="2" t="s">
        <v>383</v>
      </c>
      <c r="B8" s="18">
        <v>6.37</v>
      </c>
      <c r="C8" s="18">
        <v>130</v>
      </c>
      <c r="D8" s="16">
        <f t="shared" si="0"/>
        <v>0.6569113924050632</v>
      </c>
      <c r="E8" s="16">
        <f t="shared" si="1"/>
        <v>7.026911392405063</v>
      </c>
      <c r="F8" s="92">
        <f t="shared" si="2"/>
        <v>455.06278177215194</v>
      </c>
      <c r="G8" s="99">
        <v>456</v>
      </c>
      <c r="H8" s="19">
        <f t="shared" si="3"/>
        <v>0.9372182278480636</v>
      </c>
    </row>
    <row r="9" spans="1:8" ht="15">
      <c r="A9" s="2" t="s">
        <v>87</v>
      </c>
      <c r="B9" s="18">
        <f>38.9*0.9</f>
        <v>35.01</v>
      </c>
      <c r="C9" s="18">
        <v>150</v>
      </c>
      <c r="D9" s="16">
        <f t="shared" si="0"/>
        <v>0.7579746835443038</v>
      </c>
      <c r="E9" s="16">
        <f t="shared" si="1"/>
        <v>35.7679746835443</v>
      </c>
      <c r="F9" s="92">
        <f t="shared" si="2"/>
        <v>2316.334040506329</v>
      </c>
      <c r="G9" s="99">
        <v>2358</v>
      </c>
      <c r="H9" s="19">
        <f t="shared" si="3"/>
        <v>41.665959493670925</v>
      </c>
    </row>
    <row r="10" spans="1:8" ht="15">
      <c r="A10" s="2" t="s">
        <v>384</v>
      </c>
      <c r="B10" s="18">
        <v>19.18</v>
      </c>
      <c r="C10" s="18">
        <v>1100</v>
      </c>
      <c r="D10" s="16">
        <f t="shared" si="0"/>
        <v>5.558481012658228</v>
      </c>
      <c r="E10" s="16">
        <f t="shared" si="1"/>
        <v>24.738481012658227</v>
      </c>
      <c r="F10" s="92">
        <f t="shared" si="2"/>
        <v>1602.0640303797468</v>
      </c>
      <c r="G10" s="99">
        <v>1600</v>
      </c>
      <c r="H10" s="19">
        <f t="shared" si="3"/>
        <v>-2.0640303797467823</v>
      </c>
    </row>
    <row r="11" spans="1:8" ht="15">
      <c r="A11" s="2" t="s">
        <v>385</v>
      </c>
      <c r="B11" s="18">
        <v>6.325</v>
      </c>
      <c r="C11" s="18">
        <v>240</v>
      </c>
      <c r="D11" s="16">
        <f t="shared" si="0"/>
        <v>1.212759493670886</v>
      </c>
      <c r="E11" s="16">
        <f>B11+D11</f>
        <v>7.537759493670887</v>
      </c>
      <c r="F11" s="92">
        <f>E11*$E$1</f>
        <v>488.1453048101267</v>
      </c>
      <c r="G11" s="116">
        <v>485</v>
      </c>
      <c r="H11" s="19">
        <f>G11-F11</f>
        <v>-3.1453048101266745</v>
      </c>
    </row>
    <row r="12" spans="1:8" ht="15">
      <c r="A12" s="2" t="s">
        <v>47</v>
      </c>
      <c r="B12" s="18">
        <v>8.5</v>
      </c>
      <c r="C12" s="18">
        <v>230</v>
      </c>
      <c r="D12" s="16">
        <f>C12/$C$14*$D$14</f>
        <v>1.1622278481012658</v>
      </c>
      <c r="E12" s="16">
        <f>B12+D12</f>
        <v>9.662227848101265</v>
      </c>
      <c r="F12" s="92">
        <f>E12*$E$1</f>
        <v>625.725875443038</v>
      </c>
      <c r="G12" s="99">
        <v>627</v>
      </c>
      <c r="H12" s="19">
        <f>G12-F12</f>
        <v>1.274124556961965</v>
      </c>
    </row>
    <row r="13" spans="1:8" ht="15">
      <c r="A13" s="2" t="s">
        <v>138</v>
      </c>
      <c r="B13" s="24"/>
      <c r="C13" s="18">
        <v>7060</v>
      </c>
      <c r="D13" s="16">
        <f t="shared" si="0"/>
        <v>35.675341772151896</v>
      </c>
      <c r="E13" s="21"/>
      <c r="F13" s="22"/>
      <c r="G13" s="100"/>
      <c r="H13" s="22"/>
    </row>
    <row r="14" spans="1:8" ht="15">
      <c r="A14" s="23"/>
      <c r="B14" s="24"/>
      <c r="C14" s="24">
        <f>SUM(C4:C13)</f>
        <v>9875</v>
      </c>
      <c r="D14" s="24">
        <v>49.9</v>
      </c>
      <c r="E14" s="21"/>
      <c r="F14" s="22"/>
      <c r="G14" s="22"/>
      <c r="H14" s="22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5.8515625" style="0" customWidth="1"/>
    <col min="2" max="2" width="14.140625" style="0" customWidth="1"/>
    <col min="4" max="4" width="12.28125" style="0" customWidth="1"/>
    <col min="5" max="5" width="11.57421875" style="0" customWidth="1"/>
    <col min="6" max="6" width="10.00390625" style="0" customWidth="1"/>
    <col min="7" max="7" width="11.57421875" style="0" customWidth="1"/>
    <col min="8" max="8" width="11.421875" style="0" customWidth="1"/>
    <col min="9" max="9" width="14.140625" style="0" customWidth="1"/>
  </cols>
  <sheetData>
    <row r="1" spans="1:8" ht="21">
      <c r="A1" s="6" t="s">
        <v>126</v>
      </c>
      <c r="B1" s="7">
        <v>42801</v>
      </c>
      <c r="C1" s="7"/>
      <c r="D1" s="8" t="s">
        <v>127</v>
      </c>
      <c r="E1" s="83">
        <v>63.77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395</v>
      </c>
      <c r="C3" s="13" t="s">
        <v>394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390</v>
      </c>
      <c r="B4" s="18">
        <v>24.08</v>
      </c>
      <c r="C4" s="18">
        <f aca="true" t="shared" si="0" ref="C4:C9">B4*0.1</f>
        <v>2.408</v>
      </c>
      <c r="D4" s="18">
        <v>460</v>
      </c>
      <c r="E4" s="16">
        <f aca="true" t="shared" si="1" ref="E4:E10">D4/$D$11*$E$11</f>
        <v>2.2328793774319067</v>
      </c>
      <c r="F4" s="16">
        <f aca="true" t="shared" si="2" ref="F4:F9">B4+E4+C4</f>
        <v>28.720879377431906</v>
      </c>
      <c r="G4" s="92">
        <f aca="true" t="shared" si="3" ref="G4:G9">F4*$E$1</f>
        <v>1831.5304778988327</v>
      </c>
      <c r="H4" s="99">
        <f>1781+51</f>
        <v>1832</v>
      </c>
      <c r="I4" s="117">
        <f aca="true" t="shared" si="4" ref="I4:I9">H4-G4</f>
        <v>0.46952210116728565</v>
      </c>
      <c r="J4" s="95"/>
    </row>
    <row r="5" spans="1:9" ht="15">
      <c r="A5" s="2" t="s">
        <v>243</v>
      </c>
      <c r="B5" s="18">
        <v>22.6</v>
      </c>
      <c r="C5" s="18">
        <f t="shared" si="0"/>
        <v>2.2600000000000002</v>
      </c>
      <c r="D5" s="18">
        <v>130</v>
      </c>
      <c r="E5" s="16">
        <f t="shared" si="1"/>
        <v>0.6310311284046692</v>
      </c>
      <c r="F5" s="16">
        <f t="shared" si="2"/>
        <v>25.49103112840467</v>
      </c>
      <c r="G5" s="92">
        <f t="shared" si="3"/>
        <v>1625.563055058366</v>
      </c>
      <c r="H5" s="99">
        <f>1606+21</f>
        <v>1627</v>
      </c>
      <c r="I5" s="117">
        <f t="shared" si="4"/>
        <v>1.4369449416340103</v>
      </c>
    </row>
    <row r="6" spans="1:9" ht="15">
      <c r="A6" s="2" t="s">
        <v>183</v>
      </c>
      <c r="B6" s="18">
        <v>2.33</v>
      </c>
      <c r="C6" s="18">
        <f t="shared" si="0"/>
        <v>0.233</v>
      </c>
      <c r="D6" s="18">
        <v>130</v>
      </c>
      <c r="E6" s="16">
        <f t="shared" si="1"/>
        <v>0.6310311284046692</v>
      </c>
      <c r="F6" s="16">
        <f t="shared" si="2"/>
        <v>3.1940311284046694</v>
      </c>
      <c r="G6" s="92">
        <f t="shared" si="3"/>
        <v>203.68336505836578</v>
      </c>
      <c r="H6" s="99">
        <v>210</v>
      </c>
      <c r="I6" s="117">
        <f t="shared" si="4"/>
        <v>6.31663494163422</v>
      </c>
    </row>
    <row r="7" spans="1:10" ht="15">
      <c r="A7" s="3" t="s">
        <v>391</v>
      </c>
      <c r="B7" s="18">
        <v>6.13</v>
      </c>
      <c r="C7" s="18">
        <f t="shared" si="0"/>
        <v>0.613</v>
      </c>
      <c r="D7" s="18">
        <v>560</v>
      </c>
      <c r="E7" s="16">
        <f t="shared" si="1"/>
        <v>2.7182879377431908</v>
      </c>
      <c r="F7" s="16">
        <f t="shared" si="2"/>
        <v>9.46128793774319</v>
      </c>
      <c r="G7" s="92">
        <f t="shared" si="3"/>
        <v>603.3463317898833</v>
      </c>
      <c r="H7" s="99">
        <v>600</v>
      </c>
      <c r="I7" s="117">
        <f t="shared" si="4"/>
        <v>-3.3463317898832656</v>
      </c>
      <c r="J7" s="95"/>
    </row>
    <row r="8" spans="1:9" ht="15">
      <c r="A8" s="2" t="s">
        <v>392</v>
      </c>
      <c r="B8" s="18">
        <v>5.5</v>
      </c>
      <c r="C8" s="18">
        <f t="shared" si="0"/>
        <v>0.55</v>
      </c>
      <c r="D8" s="18">
        <v>100</v>
      </c>
      <c r="E8" s="16">
        <f t="shared" si="1"/>
        <v>0.48540856031128404</v>
      </c>
      <c r="F8" s="16">
        <f t="shared" si="2"/>
        <v>6.535408560311284</v>
      </c>
      <c r="G8" s="92">
        <f t="shared" si="3"/>
        <v>416.7630038910506</v>
      </c>
      <c r="H8" s="99">
        <f>413+4</f>
        <v>417</v>
      </c>
      <c r="I8" s="117">
        <f t="shared" si="4"/>
        <v>0.2369961089494268</v>
      </c>
    </row>
    <row r="9" spans="1:9" ht="15">
      <c r="A9" s="2" t="s">
        <v>393</v>
      </c>
      <c r="B9" s="18">
        <v>3.77</v>
      </c>
      <c r="C9" s="18">
        <f t="shared" si="0"/>
        <v>0.377</v>
      </c>
      <c r="D9" s="18">
        <v>110</v>
      </c>
      <c r="E9" s="16">
        <f t="shared" si="1"/>
        <v>0.5339494163424124</v>
      </c>
      <c r="F9" s="16">
        <f t="shared" si="2"/>
        <v>4.680949416342412</v>
      </c>
      <c r="G9" s="92">
        <f t="shared" si="3"/>
        <v>298.50414428015563</v>
      </c>
      <c r="H9" s="99">
        <f>293+6</f>
        <v>299</v>
      </c>
      <c r="I9" s="117">
        <f t="shared" si="4"/>
        <v>0.4958557198443714</v>
      </c>
    </row>
    <row r="10" spans="1:9" ht="15">
      <c r="A10" s="2" t="s">
        <v>138</v>
      </c>
      <c r="B10" s="24"/>
      <c r="C10" s="24"/>
      <c r="D10" s="18">
        <v>8790</v>
      </c>
      <c r="E10" s="16">
        <f t="shared" si="1"/>
        <v>42.66741245136186</v>
      </c>
      <c r="F10" s="21"/>
      <c r="G10" s="22"/>
      <c r="H10" s="100"/>
      <c r="I10" s="22"/>
    </row>
    <row r="11" spans="1:8" ht="15">
      <c r="A11" s="23"/>
      <c r="B11" s="24"/>
      <c r="C11" s="24"/>
      <c r="D11" s="24">
        <f>SUM(D4:D10)</f>
        <v>10280</v>
      </c>
      <c r="E11" s="24">
        <v>49.9</v>
      </c>
      <c r="F11" s="22"/>
      <c r="G11" s="22"/>
      <c r="H11" s="22"/>
    </row>
    <row r="15" ht="28.5">
      <c r="A15" s="88"/>
    </row>
    <row r="16" ht="28.5">
      <c r="A16" s="88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3.00390625" style="0" customWidth="1"/>
    <col min="2" max="2" width="16.00390625" style="0" customWidth="1"/>
    <col min="5" max="5" width="12.28125" style="0" customWidth="1"/>
    <col min="8" max="8" width="11.7109375" style="0" customWidth="1"/>
    <col min="9" max="9" width="12.57421875" style="0" customWidth="1"/>
  </cols>
  <sheetData>
    <row r="1" spans="1:8" ht="21">
      <c r="A1" s="6" t="s">
        <v>126</v>
      </c>
      <c r="B1" s="7">
        <v>42937</v>
      </c>
      <c r="C1" s="7"/>
      <c r="D1" s="8" t="s">
        <v>127</v>
      </c>
      <c r="E1" s="83">
        <v>71.644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395</v>
      </c>
      <c r="C3" s="13" t="s">
        <v>394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73</v>
      </c>
      <c r="B4" s="18">
        <v>2.43</v>
      </c>
      <c r="C4" s="18">
        <f aca="true" t="shared" si="0" ref="C4:C9">B4*0.1</f>
        <v>0.24300000000000002</v>
      </c>
      <c r="D4" s="18">
        <v>120</v>
      </c>
      <c r="E4" s="16">
        <f>D4/$D$14*$E$14</f>
        <v>0.6624551328068916</v>
      </c>
      <c r="F4" s="16">
        <f aca="true" t="shared" si="1" ref="F4:F9">B4+E4+C4</f>
        <v>3.3354551328068918</v>
      </c>
      <c r="G4" s="92">
        <f aca="true" t="shared" si="2" ref="G4:G9">F4*$E$1</f>
        <v>238.96534753481697</v>
      </c>
      <c r="H4" s="99">
        <v>232</v>
      </c>
      <c r="I4" s="117">
        <f aca="true" t="shared" si="3" ref="I4:I9">H4-G4</f>
        <v>-6.965347534816971</v>
      </c>
      <c r="J4" s="95"/>
    </row>
    <row r="5" spans="1:9" ht="15">
      <c r="A5" s="2" t="s">
        <v>398</v>
      </c>
      <c r="B5" s="18">
        <v>4.46</v>
      </c>
      <c r="C5" s="18">
        <f t="shared" si="0"/>
        <v>0.446</v>
      </c>
      <c r="D5" s="18">
        <v>200</v>
      </c>
      <c r="E5" s="16">
        <f aca="true" t="shared" si="4" ref="E5:E13">D5/$D$14*$E$14</f>
        <v>1.104091888011486</v>
      </c>
      <c r="F5" s="16">
        <f t="shared" si="1"/>
        <v>6.010091888011486</v>
      </c>
      <c r="G5" s="92">
        <f t="shared" si="2"/>
        <v>430.5870232246949</v>
      </c>
      <c r="H5" s="99">
        <v>420</v>
      </c>
      <c r="I5" s="117">
        <f t="shared" si="3"/>
        <v>-10.587023224694917</v>
      </c>
    </row>
    <row r="6" spans="1:9" ht="15">
      <c r="A6" s="2" t="s">
        <v>399</v>
      </c>
      <c r="B6" s="18">
        <v>8.7</v>
      </c>
      <c r="C6" s="18">
        <f t="shared" si="0"/>
        <v>0.87</v>
      </c>
      <c r="D6" s="18">
        <v>140</v>
      </c>
      <c r="E6" s="16">
        <f t="shared" si="4"/>
        <v>0.7728643216080403</v>
      </c>
      <c r="F6" s="16">
        <f t="shared" si="1"/>
        <v>10.342864321608038</v>
      </c>
      <c r="G6" s="92">
        <f t="shared" si="2"/>
        <v>741.0041714572864</v>
      </c>
      <c r="H6" s="98">
        <v>718</v>
      </c>
      <c r="I6" s="117">
        <f t="shared" si="3"/>
        <v>-23.00417145728636</v>
      </c>
    </row>
    <row r="7" spans="1:10" ht="15">
      <c r="A7" s="3" t="s">
        <v>375</v>
      </c>
      <c r="B7" s="18">
        <v>25.43</v>
      </c>
      <c r="C7" s="18">
        <f t="shared" si="0"/>
        <v>2.543</v>
      </c>
      <c r="D7" s="18">
        <v>100</v>
      </c>
      <c r="E7" s="16">
        <f t="shared" si="4"/>
        <v>0.552045944005743</v>
      </c>
      <c r="F7" s="16">
        <f t="shared" si="1"/>
        <v>28.525045944005743</v>
      </c>
      <c r="G7" s="92">
        <f t="shared" si="2"/>
        <v>2043.6483916123477</v>
      </c>
      <c r="H7" s="98">
        <f>1020+1000</f>
        <v>2020</v>
      </c>
      <c r="I7" s="117">
        <f t="shared" si="3"/>
        <v>-23.648391612347723</v>
      </c>
      <c r="J7" s="95"/>
    </row>
    <row r="8" spans="1:9" ht="15">
      <c r="A8" s="2" t="s">
        <v>351</v>
      </c>
      <c r="B8" s="18">
        <v>18.54</v>
      </c>
      <c r="C8" s="18">
        <f t="shared" si="0"/>
        <v>1.854</v>
      </c>
      <c r="D8" s="18">
        <v>50</v>
      </c>
      <c r="E8" s="16">
        <f t="shared" si="4"/>
        <v>0.2760229720028715</v>
      </c>
      <c r="F8" s="16">
        <f t="shared" si="1"/>
        <v>20.67002297200287</v>
      </c>
      <c r="G8" s="92">
        <f t="shared" si="2"/>
        <v>1480.8831258061737</v>
      </c>
      <c r="H8" s="98">
        <v>1385</v>
      </c>
      <c r="I8" s="117">
        <f t="shared" si="3"/>
        <v>-95.88312580617367</v>
      </c>
    </row>
    <row r="9" spans="1:9" ht="15">
      <c r="A9" s="2" t="s">
        <v>400</v>
      </c>
      <c r="B9" s="18">
        <v>111.11</v>
      </c>
      <c r="C9" s="18">
        <f t="shared" si="0"/>
        <v>11.111</v>
      </c>
      <c r="D9" s="18">
        <v>950</v>
      </c>
      <c r="E9" s="16">
        <f t="shared" si="4"/>
        <v>5.244436468054559</v>
      </c>
      <c r="F9" s="16">
        <f t="shared" si="1"/>
        <v>127.46543646805456</v>
      </c>
      <c r="G9" s="92">
        <f t="shared" si="2"/>
        <v>9132.133730317302</v>
      </c>
      <c r="H9" s="98">
        <v>8911</v>
      </c>
      <c r="I9" s="117">
        <f t="shared" si="3"/>
        <v>-221.13373031730225</v>
      </c>
    </row>
    <row r="10" spans="1:10" ht="15">
      <c r="A10" s="3" t="s">
        <v>401</v>
      </c>
      <c r="B10" s="18">
        <v>5.25</v>
      </c>
      <c r="C10" s="18">
        <f>B10*0.1</f>
        <v>0.525</v>
      </c>
      <c r="D10" s="18">
        <v>150</v>
      </c>
      <c r="E10" s="16">
        <f>D10/$D$14*$E$14</f>
        <v>0.8280689160086145</v>
      </c>
      <c r="F10" s="16">
        <f>B10+E10+C10</f>
        <v>6.603068916008615</v>
      </c>
      <c r="G10" s="92">
        <f>F10*$E$1</f>
        <v>473.07026941852126</v>
      </c>
      <c r="H10" s="98">
        <f>448+20</f>
        <v>468</v>
      </c>
      <c r="I10" s="117">
        <f>H10-G10</f>
        <v>-5.070269418521264</v>
      </c>
      <c r="J10" s="95" t="s">
        <v>408</v>
      </c>
    </row>
    <row r="11" spans="1:9" ht="15">
      <c r="A11" s="2" t="s">
        <v>402</v>
      </c>
      <c r="B11" s="18">
        <v>36.97</v>
      </c>
      <c r="C11" s="18">
        <f>B11*0.1</f>
        <v>3.697</v>
      </c>
      <c r="D11" s="18">
        <v>685</v>
      </c>
      <c r="E11" s="16">
        <f>D11/$D$14*$E$14</f>
        <v>3.78151471643934</v>
      </c>
      <c r="F11" s="16">
        <f>B11+E11+C11</f>
        <v>44.44851471643934</v>
      </c>
      <c r="G11" s="92">
        <f>F11*$E$1</f>
        <v>3184.4693883445802</v>
      </c>
      <c r="H11" s="99"/>
      <c r="I11" s="117">
        <f>H11-G11</f>
        <v>-3184.4693883445802</v>
      </c>
    </row>
    <row r="12" spans="1:9" ht="15">
      <c r="A12" s="2" t="s">
        <v>403</v>
      </c>
      <c r="B12" s="18">
        <v>22.8</v>
      </c>
      <c r="C12" s="18">
        <f>B12*0.1</f>
        <v>2.2800000000000002</v>
      </c>
      <c r="D12" s="18">
        <v>310</v>
      </c>
      <c r="E12" s="16">
        <f>D12/$D$14*$E$14</f>
        <v>1.7113424264178034</v>
      </c>
      <c r="F12" s="16">
        <f>B12+E12+C12</f>
        <v>26.791342426417806</v>
      </c>
      <c r="G12" s="92">
        <f>F12*$E$1</f>
        <v>1919.4389367982774</v>
      </c>
      <c r="H12" s="98">
        <v>1867</v>
      </c>
      <c r="I12" s="117">
        <f>H12-G12</f>
        <v>-52.43893679827738</v>
      </c>
    </row>
    <row r="13" spans="1:9" ht="15">
      <c r="A13" s="2" t="s">
        <v>138</v>
      </c>
      <c r="B13" s="24"/>
      <c r="C13" s="24"/>
      <c r="D13" s="18">
        <v>11225</v>
      </c>
      <c r="E13" s="16">
        <f t="shared" si="4"/>
        <v>61.96715721464465</v>
      </c>
      <c r="F13" s="21"/>
      <c r="G13" s="22"/>
      <c r="H13" s="100"/>
      <c r="I13" s="22"/>
    </row>
    <row r="14" spans="1:8" ht="15">
      <c r="A14" s="23"/>
      <c r="B14" s="24"/>
      <c r="C14" s="24"/>
      <c r="D14" s="24">
        <f>SUM(D4:D13)</f>
        <v>13930</v>
      </c>
      <c r="E14" s="24">
        <v>76.9</v>
      </c>
      <c r="F14" s="22"/>
      <c r="G14" s="22"/>
      <c r="H14" s="22"/>
    </row>
    <row r="21" ht="28.5">
      <c r="A21" s="88"/>
    </row>
    <row r="22" ht="28.5">
      <c r="A22" s="8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10" customFormat="1" ht="21.75" customHeight="1">
      <c r="A1" s="6" t="s">
        <v>126</v>
      </c>
      <c r="B1" s="7">
        <v>41568</v>
      </c>
      <c r="C1" s="7"/>
      <c r="D1" s="8" t="s">
        <v>127</v>
      </c>
      <c r="E1" s="9">
        <v>44.48</v>
      </c>
      <c r="G1" s="10" t="s">
        <v>128</v>
      </c>
    </row>
    <row r="2" s="10" customFormat="1" ht="23.25" customHeight="1">
      <c r="A2" s="11" t="s">
        <v>144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2" t="s">
        <v>116</v>
      </c>
      <c r="B4" s="50"/>
      <c r="C4" s="51">
        <f aca="true" t="shared" si="0" ref="C4:C17">B4/$B$18*$C$18</f>
        <v>0</v>
      </c>
      <c r="D4" s="51">
        <f aca="true" t="shared" si="1" ref="D4:D16">B4+C4</f>
        <v>0</v>
      </c>
      <c r="E4" s="52"/>
      <c r="F4" s="53">
        <v>1256</v>
      </c>
      <c r="G4" s="54">
        <f>F4-E4-1256</f>
        <v>0</v>
      </c>
      <c r="H4" s="10" t="s">
        <v>145</v>
      </c>
    </row>
    <row r="5" spans="1:7" s="10" customFormat="1" ht="15">
      <c r="A5" s="3" t="s">
        <v>110</v>
      </c>
      <c r="B5" s="15">
        <v>7.96</v>
      </c>
      <c r="C5" s="16">
        <f t="shared" si="0"/>
        <v>0.727292719323507</v>
      </c>
      <c r="D5" s="16">
        <f t="shared" si="1"/>
        <v>8.687292719323507</v>
      </c>
      <c r="E5" s="17">
        <f aca="true" t="shared" si="2" ref="E5:E16">D5*$E$1</f>
        <v>386.41078015550954</v>
      </c>
      <c r="F5" s="18">
        <f>383+3</f>
        <v>386</v>
      </c>
      <c r="G5" s="19">
        <f>F5-E5</f>
        <v>-0.41078015550954206</v>
      </c>
    </row>
    <row r="6" spans="1:8" s="10" customFormat="1" ht="15">
      <c r="A6" s="3" t="s">
        <v>39</v>
      </c>
      <c r="B6" s="15">
        <f>118.88-12.5</f>
        <v>106.38</v>
      </c>
      <c r="C6" s="16">
        <f t="shared" si="0"/>
        <v>9.719773804225461</v>
      </c>
      <c r="D6" s="16">
        <f t="shared" si="1"/>
        <v>116.09977380422546</v>
      </c>
      <c r="E6" s="17">
        <f t="shared" si="2"/>
        <v>5164.117938811948</v>
      </c>
      <c r="F6" s="18">
        <v>5755</v>
      </c>
      <c r="G6" s="19">
        <f>F6-E6-556</f>
        <v>34.88206118805192</v>
      </c>
      <c r="H6" s="10" t="s">
        <v>146</v>
      </c>
    </row>
    <row r="7" spans="1:7" s="10" customFormat="1" ht="15">
      <c r="A7" s="3" t="s">
        <v>52</v>
      </c>
      <c r="B7" s="15">
        <v>19.3</v>
      </c>
      <c r="C7" s="16">
        <f t="shared" si="0"/>
        <v>1.7634107390632772</v>
      </c>
      <c r="D7" s="16">
        <f t="shared" si="1"/>
        <v>21.06341073906328</v>
      </c>
      <c r="E7" s="17">
        <f t="shared" si="2"/>
        <v>936.9005096735345</v>
      </c>
      <c r="F7" s="18">
        <f>929+8</f>
        <v>937</v>
      </c>
      <c r="G7" s="19">
        <f aca="true" t="shared" si="3" ref="G7:G14">F7-E7</f>
        <v>0.09949032646545675</v>
      </c>
    </row>
    <row r="8" spans="1:7" s="10" customFormat="1" ht="15">
      <c r="A8" s="2" t="s">
        <v>106</v>
      </c>
      <c r="B8" s="15">
        <v>16</v>
      </c>
      <c r="C8" s="16">
        <f t="shared" si="0"/>
        <v>1.4618949132130794</v>
      </c>
      <c r="D8" s="16">
        <f t="shared" si="1"/>
        <v>17.46189491321308</v>
      </c>
      <c r="E8" s="17">
        <f t="shared" si="2"/>
        <v>776.7050857397177</v>
      </c>
      <c r="F8" s="18">
        <v>770</v>
      </c>
      <c r="G8" s="19">
        <f t="shared" si="3"/>
        <v>-6.705085739717674</v>
      </c>
    </row>
    <row r="9" spans="1:7" s="10" customFormat="1" ht="15">
      <c r="A9" s="2" t="s">
        <v>35</v>
      </c>
      <c r="B9" s="15">
        <v>11.3</v>
      </c>
      <c r="C9" s="16">
        <f t="shared" si="0"/>
        <v>1.0324632824567375</v>
      </c>
      <c r="D9" s="16">
        <f t="shared" si="1"/>
        <v>12.332463282456738</v>
      </c>
      <c r="E9" s="17">
        <f t="shared" si="2"/>
        <v>548.5479668036756</v>
      </c>
      <c r="F9" s="18">
        <v>544</v>
      </c>
      <c r="G9" s="19">
        <f t="shared" si="3"/>
        <v>-4.547966803675649</v>
      </c>
    </row>
    <row r="10" spans="1:7" s="10" customFormat="1" ht="15">
      <c r="A10" s="2" t="s">
        <v>22</v>
      </c>
      <c r="B10" s="15">
        <v>29.85</v>
      </c>
      <c r="C10" s="16">
        <f t="shared" si="0"/>
        <v>2.7273476974631516</v>
      </c>
      <c r="D10" s="16">
        <f t="shared" si="1"/>
        <v>32.57734769746315</v>
      </c>
      <c r="E10" s="17">
        <f t="shared" si="2"/>
        <v>1449.0404255831609</v>
      </c>
      <c r="F10" s="18">
        <f>1436+13</f>
        <v>1449</v>
      </c>
      <c r="G10" s="19">
        <f t="shared" si="3"/>
        <v>-0.04042558316086797</v>
      </c>
    </row>
    <row r="11" spans="1:7" s="10" customFormat="1" ht="15">
      <c r="A11" s="2" t="s">
        <v>147</v>
      </c>
      <c r="B11" s="15">
        <v>6.6</v>
      </c>
      <c r="C11" s="16">
        <f t="shared" si="0"/>
        <v>0.6030316517003953</v>
      </c>
      <c r="D11" s="16">
        <f t="shared" si="1"/>
        <v>7.203031651700395</v>
      </c>
      <c r="E11" s="17">
        <f t="shared" si="2"/>
        <v>320.39084786763357</v>
      </c>
      <c r="F11" s="18">
        <f>318+2</f>
        <v>320</v>
      </c>
      <c r="G11" s="19">
        <f t="shared" si="3"/>
        <v>-0.3908478676335676</v>
      </c>
    </row>
    <row r="12" spans="1:7" s="10" customFormat="1" ht="15">
      <c r="A12" s="2" t="s">
        <v>94</v>
      </c>
      <c r="B12" s="15">
        <v>39.37</v>
      </c>
      <c r="C12" s="16">
        <f t="shared" si="0"/>
        <v>3.597175170824933</v>
      </c>
      <c r="D12" s="16">
        <f t="shared" si="1"/>
        <v>42.96717517082493</v>
      </c>
      <c r="E12" s="17">
        <f t="shared" si="2"/>
        <v>1911.1799515982927</v>
      </c>
      <c r="F12" s="18">
        <v>1906</v>
      </c>
      <c r="G12" s="19">
        <f t="shared" si="3"/>
        <v>-5.179951598292746</v>
      </c>
    </row>
    <row r="13" spans="1:7" s="10" customFormat="1" ht="15">
      <c r="A13" s="2" t="s">
        <v>60</v>
      </c>
      <c r="B13" s="15">
        <v>26.8</v>
      </c>
      <c r="C13" s="16">
        <f t="shared" si="0"/>
        <v>2.4486739796319084</v>
      </c>
      <c r="D13" s="16">
        <f t="shared" si="1"/>
        <v>29.24867397963191</v>
      </c>
      <c r="E13" s="17">
        <f t="shared" si="2"/>
        <v>1300.9810186140273</v>
      </c>
      <c r="F13" s="18">
        <v>1318</v>
      </c>
      <c r="G13" s="19">
        <f t="shared" si="3"/>
        <v>17.018981385972666</v>
      </c>
    </row>
    <row r="14" spans="1:7" s="10" customFormat="1" ht="15">
      <c r="A14" s="2" t="s">
        <v>26</v>
      </c>
      <c r="B14" s="15">
        <v>27.73</v>
      </c>
      <c r="C14" s="16">
        <f t="shared" si="0"/>
        <v>2.5336466214624185</v>
      </c>
      <c r="D14" s="16">
        <f t="shared" si="1"/>
        <v>30.26364662146242</v>
      </c>
      <c r="E14" s="17">
        <f t="shared" si="2"/>
        <v>1346.1270017226484</v>
      </c>
      <c r="F14" s="18">
        <v>1368</v>
      </c>
      <c r="G14" s="19">
        <f t="shared" si="3"/>
        <v>21.8729982773516</v>
      </c>
    </row>
    <row r="15" spans="1:7" s="10" customFormat="1" ht="15">
      <c r="A15" s="2" t="s">
        <v>46</v>
      </c>
      <c r="B15" s="15">
        <v>17.4</v>
      </c>
      <c r="C15" s="16">
        <f t="shared" si="0"/>
        <v>1.5898107181192238</v>
      </c>
      <c r="D15" s="16">
        <f t="shared" si="1"/>
        <v>18.989810718119223</v>
      </c>
      <c r="E15" s="17">
        <f t="shared" si="2"/>
        <v>844.666780741943</v>
      </c>
      <c r="F15" s="18">
        <f>836+8</f>
        <v>844</v>
      </c>
      <c r="G15" s="19">
        <f>F15-E15+1</f>
        <v>0.3332192580570563</v>
      </c>
    </row>
    <row r="16" spans="1:7" s="10" customFormat="1" ht="15">
      <c r="A16" s="2" t="s">
        <v>29</v>
      </c>
      <c r="B16" s="15">
        <v>21.28</v>
      </c>
      <c r="C16" s="16">
        <f t="shared" si="0"/>
        <v>1.9443202345733956</v>
      </c>
      <c r="D16" s="16">
        <f t="shared" si="1"/>
        <v>23.224320234573398</v>
      </c>
      <c r="E16" s="17">
        <f t="shared" si="2"/>
        <v>1033.0177640338247</v>
      </c>
      <c r="F16" s="18">
        <v>1030</v>
      </c>
      <c r="G16" s="19">
        <f>F16-E16</f>
        <v>-3.017764033824733</v>
      </c>
    </row>
    <row r="17" spans="1:7" s="10" customFormat="1" ht="15">
      <c r="A17" s="49" t="s">
        <v>138</v>
      </c>
      <c r="B17" s="15">
        <v>52</v>
      </c>
      <c r="C17" s="16">
        <f t="shared" si="0"/>
        <v>4.751158467942508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381.97</v>
      </c>
      <c r="C18" s="24">
        <v>34.9</v>
      </c>
      <c r="D18" s="21"/>
      <c r="E18" s="22"/>
      <c r="F18" s="22"/>
      <c r="G18" s="22"/>
    </row>
    <row r="22" ht="31.5">
      <c r="A22" s="55" t="s">
        <v>148</v>
      </c>
    </row>
    <row r="23" spans="1:6" s="56" customFormat="1" ht="31.5">
      <c r="A23" s="56" t="s">
        <v>84</v>
      </c>
      <c r="E23" s="57"/>
      <c r="F23" s="57"/>
    </row>
    <row r="24" spans="1:4" ht="15">
      <c r="A24" s="58"/>
      <c r="B24" s="58"/>
      <c r="C24" s="59" t="s">
        <v>149</v>
      </c>
      <c r="D24" s="49"/>
    </row>
    <row r="25" spans="1:6" s="56" customFormat="1" ht="31.5">
      <c r="A25" s="56" t="s">
        <v>52</v>
      </c>
      <c r="C25" s="57"/>
      <c r="F25" s="57"/>
    </row>
    <row r="26" spans="1:4" ht="15">
      <c r="A26" s="58"/>
      <c r="B26" s="58"/>
      <c r="C26" s="59" t="s">
        <v>150</v>
      </c>
      <c r="D26" s="49"/>
    </row>
    <row r="27" spans="1:3" s="56" customFormat="1" ht="31.5">
      <c r="A27" s="56" t="s">
        <v>22</v>
      </c>
      <c r="C27" s="57"/>
    </row>
    <row r="28" spans="1:4" ht="15">
      <c r="A28" s="58"/>
      <c r="B28" s="58"/>
      <c r="C28" s="59" t="s">
        <v>151</v>
      </c>
      <c r="D28" s="49"/>
    </row>
    <row r="29" spans="1:3" s="56" customFormat="1" ht="31.5">
      <c r="A29" s="56" t="s">
        <v>29</v>
      </c>
      <c r="C29" s="57"/>
    </row>
    <row r="30" spans="3:4" ht="15">
      <c r="C30" s="59" t="s">
        <v>152</v>
      </c>
      <c r="D30" s="10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5" activeCellId="1" sqref="A1:A2 A25:A26"/>
    </sheetView>
  </sheetViews>
  <sheetFormatPr defaultColWidth="9.140625" defaultRowHeight="15"/>
  <sheetData>
    <row r="1" ht="28.5">
      <c r="A1" s="88" t="s">
        <v>219</v>
      </c>
    </row>
    <row r="2" ht="28.5">
      <c r="A2" s="88" t="s">
        <v>373</v>
      </c>
    </row>
    <row r="25" ht="28.5">
      <c r="A25" s="88" t="s">
        <v>219</v>
      </c>
    </row>
    <row r="26" ht="28.5">
      <c r="A26" s="88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10" customFormat="1" ht="21.75" customHeight="1">
      <c r="A1" s="6" t="s">
        <v>126</v>
      </c>
      <c r="B1" s="7">
        <v>41596</v>
      </c>
      <c r="C1" s="7"/>
      <c r="D1" s="8" t="s">
        <v>127</v>
      </c>
      <c r="E1" s="9">
        <v>45.12</v>
      </c>
      <c r="G1" s="10" t="s">
        <v>128</v>
      </c>
    </row>
    <row r="2" s="10" customFormat="1" ht="23.25" customHeight="1">
      <c r="A2" s="11" t="s">
        <v>153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5">
        <v>31.54</v>
      </c>
      <c r="C4" s="16">
        <f aca="true" t="shared" si="0" ref="C4:C17">B4/$B$18*$C$18</f>
        <v>3.0432568426873097</v>
      </c>
      <c r="D4" s="16">
        <f aca="true" t="shared" si="1" ref="D4:D16">B4+C4</f>
        <v>34.583256842687305</v>
      </c>
      <c r="E4" s="17">
        <f aca="true" t="shared" si="2" ref="E4:E16">D4*$E$1</f>
        <v>1560.3965487420512</v>
      </c>
      <c r="F4" s="18">
        <f>1550+10</f>
        <v>1560</v>
      </c>
      <c r="G4" s="19">
        <f aca="true" t="shared" si="3" ref="G4:G16">F4-E4</f>
        <v>-0.39654874205120905</v>
      </c>
    </row>
    <row r="5" spans="1:7" s="10" customFormat="1" ht="15">
      <c r="A5" s="3" t="s">
        <v>87</v>
      </c>
      <c r="B5" s="15">
        <v>12.4</v>
      </c>
      <c r="C5" s="16">
        <f t="shared" si="0"/>
        <v>1.196461155653857</v>
      </c>
      <c r="D5" s="16">
        <f t="shared" si="1"/>
        <v>13.596461155653857</v>
      </c>
      <c r="E5" s="17">
        <f t="shared" si="2"/>
        <v>613.472327343102</v>
      </c>
      <c r="F5" s="18">
        <v>610</v>
      </c>
      <c r="G5" s="19">
        <f t="shared" si="3"/>
        <v>-3.4723273431020516</v>
      </c>
    </row>
    <row r="6" spans="1:7" s="10" customFormat="1" ht="15">
      <c r="A6" s="3" t="s">
        <v>69</v>
      </c>
      <c r="B6" s="15">
        <v>8.95</v>
      </c>
      <c r="C6" s="16">
        <f t="shared" si="0"/>
        <v>0.8635747857340336</v>
      </c>
      <c r="D6" s="16">
        <f t="shared" si="1"/>
        <v>9.813574785734033</v>
      </c>
      <c r="E6" s="17">
        <f t="shared" si="2"/>
        <v>442.78849433231954</v>
      </c>
      <c r="F6" s="18">
        <v>440</v>
      </c>
      <c r="G6" s="19">
        <f t="shared" si="3"/>
        <v>-2.7884943323195444</v>
      </c>
    </row>
    <row r="7" spans="1:7" s="10" customFormat="1" ht="15">
      <c r="A7" s="2" t="s">
        <v>8</v>
      </c>
      <c r="B7" s="15">
        <v>43.86</v>
      </c>
      <c r="C7" s="16">
        <f t="shared" si="0"/>
        <v>4.2319988941111415</v>
      </c>
      <c r="D7" s="16">
        <f t="shared" si="1"/>
        <v>48.09199889411114</v>
      </c>
      <c r="E7" s="17">
        <f t="shared" si="2"/>
        <v>2169.910990102295</v>
      </c>
      <c r="F7" s="18">
        <v>2156</v>
      </c>
      <c r="G7" s="19">
        <f t="shared" si="3"/>
        <v>-13.910990102294818</v>
      </c>
    </row>
    <row r="8" spans="1:7" s="10" customFormat="1" ht="15">
      <c r="A8" s="2" t="s">
        <v>25</v>
      </c>
      <c r="B8" s="15">
        <v>3.32</v>
      </c>
      <c r="C8" s="16">
        <f t="shared" si="0"/>
        <v>0.3203428255460326</v>
      </c>
      <c r="D8" s="16">
        <f t="shared" si="1"/>
        <v>3.6403428255460324</v>
      </c>
      <c r="E8" s="17">
        <f t="shared" si="2"/>
        <v>164.25226828863697</v>
      </c>
      <c r="F8" s="18">
        <v>163</v>
      </c>
      <c r="G8" s="19">
        <f t="shared" si="3"/>
        <v>-1.2522682886369694</v>
      </c>
    </row>
    <row r="9" spans="1:7" s="10" customFormat="1" ht="15">
      <c r="A9" s="2" t="s">
        <v>71</v>
      </c>
      <c r="B9" s="15">
        <v>1.66</v>
      </c>
      <c r="C9" s="16">
        <f t="shared" si="0"/>
        <v>0.1601714127730163</v>
      </c>
      <c r="D9" s="16">
        <f t="shared" si="1"/>
        <v>1.8201714127730162</v>
      </c>
      <c r="E9" s="17">
        <f t="shared" si="2"/>
        <v>82.12613414431848</v>
      </c>
      <c r="F9" s="18">
        <v>82</v>
      </c>
      <c r="G9" s="19">
        <f t="shared" si="3"/>
        <v>-0.1261341443184847</v>
      </c>
    </row>
    <row r="10" spans="1:7" s="10" customFormat="1" ht="15">
      <c r="A10" s="2" t="s">
        <v>34</v>
      </c>
      <c r="B10" s="15">
        <v>23.8</v>
      </c>
      <c r="C10" s="16">
        <f t="shared" si="0"/>
        <v>2.2964335084324023</v>
      </c>
      <c r="D10" s="16">
        <f t="shared" si="1"/>
        <v>26.096433508432405</v>
      </c>
      <c r="E10" s="17">
        <f t="shared" si="2"/>
        <v>1177.47107990047</v>
      </c>
      <c r="F10" s="18">
        <v>1170</v>
      </c>
      <c r="G10" s="19">
        <f t="shared" si="3"/>
        <v>-7.471079900469931</v>
      </c>
    </row>
    <row r="11" spans="1:7" s="10" customFormat="1" ht="15">
      <c r="A11" s="2" t="s">
        <v>103</v>
      </c>
      <c r="B11" s="15">
        <v>43.04</v>
      </c>
      <c r="C11" s="16">
        <f t="shared" si="0"/>
        <v>4.152878075753386</v>
      </c>
      <c r="D11" s="16">
        <f t="shared" si="1"/>
        <v>47.192878075753384</v>
      </c>
      <c r="E11" s="17">
        <f t="shared" si="2"/>
        <v>2129.3426587779927</v>
      </c>
      <c r="F11" s="18">
        <v>2120</v>
      </c>
      <c r="G11" s="19">
        <f t="shared" si="3"/>
        <v>-9.34265877799271</v>
      </c>
    </row>
    <row r="12" spans="1:7" s="10" customFormat="1" ht="15">
      <c r="A12" s="2" t="s">
        <v>58</v>
      </c>
      <c r="B12" s="15">
        <v>10</v>
      </c>
      <c r="C12" s="16">
        <f t="shared" si="0"/>
        <v>0.9648880287531103</v>
      </c>
      <c r="D12" s="16">
        <f t="shared" si="1"/>
        <v>10.96488802875311</v>
      </c>
      <c r="E12" s="17">
        <f t="shared" si="2"/>
        <v>494.7357478573403</v>
      </c>
      <c r="F12" s="18">
        <v>435</v>
      </c>
      <c r="G12" s="19">
        <f t="shared" si="3"/>
        <v>-59.7357478573403</v>
      </c>
    </row>
    <row r="13" spans="1:7" s="10" customFormat="1" ht="15">
      <c r="A13" s="2" t="s">
        <v>28</v>
      </c>
      <c r="B13" s="15">
        <v>45.11</v>
      </c>
      <c r="C13" s="16">
        <f t="shared" si="0"/>
        <v>4.352609897705281</v>
      </c>
      <c r="D13" s="16">
        <f t="shared" si="1"/>
        <v>49.46260989770528</v>
      </c>
      <c r="E13" s="17">
        <f t="shared" si="2"/>
        <v>2231.752958584462</v>
      </c>
      <c r="F13" s="18">
        <f>2218+14</f>
        <v>2232</v>
      </c>
      <c r="G13" s="19">
        <f t="shared" si="3"/>
        <v>0.2470414155382059</v>
      </c>
    </row>
    <row r="14" spans="1:7" s="10" customFormat="1" ht="15">
      <c r="A14" s="2" t="s">
        <v>29</v>
      </c>
      <c r="B14" s="15">
        <v>1.5</v>
      </c>
      <c r="C14" s="16">
        <f t="shared" si="0"/>
        <v>0.14473320431296655</v>
      </c>
      <c r="D14" s="16">
        <f t="shared" si="1"/>
        <v>1.6447332043129665</v>
      </c>
      <c r="E14" s="17">
        <f t="shared" si="2"/>
        <v>74.21036217860105</v>
      </c>
      <c r="F14" s="18">
        <v>75</v>
      </c>
      <c r="G14" s="19">
        <f t="shared" si="3"/>
        <v>0.789637821398955</v>
      </c>
    </row>
    <row r="15" spans="1:7" s="10" customFormat="1" ht="15">
      <c r="A15" s="2" t="s">
        <v>37</v>
      </c>
      <c r="B15" s="15">
        <v>26.4</v>
      </c>
      <c r="C15" s="16">
        <f t="shared" si="0"/>
        <v>2.547304395908211</v>
      </c>
      <c r="D15" s="16">
        <f t="shared" si="1"/>
        <v>28.94730439590821</v>
      </c>
      <c r="E15" s="17">
        <f t="shared" si="2"/>
        <v>1306.1023743433782</v>
      </c>
      <c r="F15" s="18">
        <f>1298+8</f>
        <v>1306</v>
      </c>
      <c r="G15" s="19">
        <f t="shared" si="3"/>
        <v>-0.1023743433781874</v>
      </c>
    </row>
    <row r="16" spans="1:7" s="10" customFormat="1" ht="15">
      <c r="A16" s="49" t="s">
        <v>115</v>
      </c>
      <c r="B16" s="15">
        <v>10.8</v>
      </c>
      <c r="C16" s="16">
        <f t="shared" si="0"/>
        <v>1.0420790710533592</v>
      </c>
      <c r="D16" s="16">
        <f t="shared" si="1"/>
        <v>11.84207907105336</v>
      </c>
      <c r="E16" s="17">
        <f t="shared" si="2"/>
        <v>534.3146076859276</v>
      </c>
      <c r="F16" s="18">
        <v>531</v>
      </c>
      <c r="G16" s="19">
        <f t="shared" si="3"/>
        <v>-3.3146076859276263</v>
      </c>
    </row>
    <row r="17" spans="1:7" s="10" customFormat="1" ht="15">
      <c r="A17" s="49" t="s">
        <v>138</v>
      </c>
      <c r="B17" s="15">
        <v>99.32</v>
      </c>
      <c r="C17" s="16">
        <f t="shared" si="0"/>
        <v>9.58326790157589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361.7</v>
      </c>
      <c r="C18" s="24">
        <v>34.9</v>
      </c>
      <c r="D18" s="21"/>
      <c r="E18" s="22"/>
      <c r="F18" s="22"/>
      <c r="G18" s="22"/>
    </row>
    <row r="20" ht="31.5">
      <c r="A20" s="55" t="s">
        <v>154</v>
      </c>
    </row>
    <row r="21" spans="1:11" s="56" customFormat="1" ht="31.5">
      <c r="A21" s="56" t="s">
        <v>29</v>
      </c>
      <c r="D21" s="57"/>
      <c r="E21"/>
      <c r="F21"/>
      <c r="G21"/>
      <c r="H21"/>
      <c r="I21"/>
      <c r="J21"/>
      <c r="K21"/>
    </row>
    <row r="22" spans="1:11" ht="15">
      <c r="A22" s="59" t="s">
        <v>152</v>
      </c>
      <c r="B22" s="60"/>
      <c r="C22" s="60"/>
      <c r="D22" s="60"/>
      <c r="E22" s="60"/>
      <c r="H22" s="10"/>
      <c r="I22" s="10"/>
      <c r="J22" s="10"/>
      <c r="K22" s="10"/>
    </row>
    <row r="23" spans="1:11" ht="15">
      <c r="A23" s="59" t="s">
        <v>155</v>
      </c>
      <c r="B23" s="58"/>
      <c r="C23" s="58"/>
      <c r="D23" s="58"/>
      <c r="E23" s="58"/>
      <c r="H23" s="10"/>
      <c r="I23" s="10"/>
      <c r="J23" s="10"/>
      <c r="K23" s="10"/>
    </row>
    <row r="24" spans="1:4" ht="31.5">
      <c r="A24" s="56" t="s">
        <v>34</v>
      </c>
      <c r="B24" s="61"/>
      <c r="C24" s="61"/>
      <c r="D24" s="61"/>
    </row>
    <row r="25" spans="1:4" ht="15">
      <c r="A25" s="62" t="s">
        <v>156</v>
      </c>
      <c r="B25" s="58"/>
      <c r="C25" s="58"/>
      <c r="D25" s="49"/>
    </row>
    <row r="26" spans="1:7" ht="15">
      <c r="A26" s="58"/>
      <c r="B26" s="58"/>
      <c r="C26" s="58"/>
      <c r="D26" s="58"/>
      <c r="G26" s="63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10" customFormat="1" ht="21.75" customHeight="1">
      <c r="A1" s="6" t="s">
        <v>126</v>
      </c>
      <c r="B1" s="7">
        <v>41652</v>
      </c>
      <c r="C1" s="7"/>
      <c r="D1" s="8" t="s">
        <v>127</v>
      </c>
      <c r="E1" s="9">
        <v>46.12</v>
      </c>
      <c r="G1" s="10" t="s">
        <v>128</v>
      </c>
    </row>
    <row r="2" s="10" customFormat="1" ht="23.25" customHeight="1">
      <c r="A2" s="11" t="s">
        <v>157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84</v>
      </c>
      <c r="B4" s="15">
        <v>10.43</v>
      </c>
      <c r="C4" s="16">
        <f aca="true" t="shared" si="0" ref="C4:C17">B4/$B$18*$C$18</f>
        <v>1.1714410786202065</v>
      </c>
      <c r="D4" s="16">
        <f aca="true" t="shared" si="1" ref="D4:D16">B4+C4</f>
        <v>11.601441078620207</v>
      </c>
      <c r="E4" s="17">
        <f aca="true" t="shared" si="2" ref="E4:E16">D4*$E$1</f>
        <v>535.058462545964</v>
      </c>
      <c r="F4" s="18">
        <v>531</v>
      </c>
      <c r="G4" s="19">
        <f>F4-E4</f>
        <v>-4.058462545963948</v>
      </c>
    </row>
    <row r="5" spans="1:7" s="10" customFormat="1" ht="15">
      <c r="A5" s="2" t="s">
        <v>78</v>
      </c>
      <c r="B5" s="15">
        <v>7.32</v>
      </c>
      <c r="C5" s="16">
        <f t="shared" si="0"/>
        <v>0.8221427320709408</v>
      </c>
      <c r="D5" s="16">
        <f t="shared" si="1"/>
        <v>8.14214273207094</v>
      </c>
      <c r="E5" s="17">
        <f t="shared" si="2"/>
        <v>375.51562280311174</v>
      </c>
      <c r="F5" s="18">
        <f>373+3</f>
        <v>376</v>
      </c>
      <c r="G5" s="19">
        <f>F5-E5</f>
        <v>0.48437719688826064</v>
      </c>
    </row>
    <row r="6" spans="1:7" s="10" customFormat="1" ht="15">
      <c r="A6" s="2" t="s">
        <v>102</v>
      </c>
      <c r="B6" s="15">
        <v>45.07</v>
      </c>
      <c r="C6" s="16">
        <f t="shared" si="0"/>
        <v>5.062018160442254</v>
      </c>
      <c r="D6" s="16">
        <f t="shared" si="1"/>
        <v>50.13201816044226</v>
      </c>
      <c r="E6" s="17">
        <f t="shared" si="2"/>
        <v>2312.088677559597</v>
      </c>
      <c r="F6" s="18">
        <v>2296</v>
      </c>
      <c r="G6" s="19">
        <f>F6-E6</f>
        <v>-16.088677559596817</v>
      </c>
    </row>
    <row r="7" spans="1:11" s="10" customFormat="1" ht="15">
      <c r="A7" s="2" t="s">
        <v>26</v>
      </c>
      <c r="B7" s="15">
        <f>55.63-27.82</f>
        <v>27.810000000000002</v>
      </c>
      <c r="C7" s="16">
        <f t="shared" si="0"/>
        <v>3.123468494384271</v>
      </c>
      <c r="D7" s="16">
        <f t="shared" si="1"/>
        <v>30.93346849438427</v>
      </c>
      <c r="E7" s="17">
        <f t="shared" si="2"/>
        <v>1426.6515669610026</v>
      </c>
      <c r="F7" s="18">
        <v>2846</v>
      </c>
      <c r="G7" s="64">
        <f>F7-E7-350-190-868</f>
        <v>11.348433038997428</v>
      </c>
      <c r="H7" s="65" t="s">
        <v>158</v>
      </c>
      <c r="K7" s="10" t="s">
        <v>159</v>
      </c>
    </row>
    <row r="8" spans="1:7" s="10" customFormat="1" ht="15">
      <c r="A8" s="2" t="s">
        <v>122</v>
      </c>
      <c r="B8" s="15">
        <v>12.94</v>
      </c>
      <c r="C8" s="16">
        <f t="shared" si="0"/>
        <v>1.4533506766390676</v>
      </c>
      <c r="D8" s="16">
        <f t="shared" si="1"/>
        <v>14.393350676639066</v>
      </c>
      <c r="E8" s="17">
        <f t="shared" si="2"/>
        <v>663.8213332065937</v>
      </c>
      <c r="F8" s="18">
        <v>659</v>
      </c>
      <c r="G8" s="19">
        <f aca="true" t="shared" si="3" ref="G8:G16">F8-E8</f>
        <v>-4.821333206593749</v>
      </c>
    </row>
    <row r="9" spans="1:7" s="10" customFormat="1" ht="15">
      <c r="A9" s="2" t="s">
        <v>10</v>
      </c>
      <c r="B9" s="15">
        <v>8.58</v>
      </c>
      <c r="C9" s="16">
        <f t="shared" si="0"/>
        <v>0.9636591039847913</v>
      </c>
      <c r="D9" s="16">
        <f t="shared" si="1"/>
        <v>9.54365910398479</v>
      </c>
      <c r="E9" s="17">
        <f t="shared" si="2"/>
        <v>440.1535578757785</v>
      </c>
      <c r="F9" s="18">
        <v>437</v>
      </c>
      <c r="G9" s="19">
        <f t="shared" si="3"/>
        <v>-3.1535578757785174</v>
      </c>
    </row>
    <row r="10" spans="1:7" s="10" customFormat="1" ht="15">
      <c r="A10" s="2" t="s">
        <v>60</v>
      </c>
      <c r="B10" s="15">
        <v>26.89</v>
      </c>
      <c r="C10" s="16">
        <f t="shared" si="0"/>
        <v>3.020139079970983</v>
      </c>
      <c r="D10" s="16">
        <f t="shared" si="1"/>
        <v>29.910139079970982</v>
      </c>
      <c r="E10" s="17">
        <f t="shared" si="2"/>
        <v>1379.4556143682616</v>
      </c>
      <c r="F10" s="18">
        <v>1370</v>
      </c>
      <c r="G10" s="19">
        <f t="shared" si="3"/>
        <v>-9.45561436826165</v>
      </c>
    </row>
    <row r="11" spans="1:7" s="10" customFormat="1" ht="15">
      <c r="A11" s="2" t="s">
        <v>106</v>
      </c>
      <c r="B11" s="15">
        <v>9.43</v>
      </c>
      <c r="C11" s="16">
        <f t="shared" si="0"/>
        <v>1.0591264977361983</v>
      </c>
      <c r="D11" s="16">
        <f t="shared" si="1"/>
        <v>10.489126497736198</v>
      </c>
      <c r="E11" s="17">
        <f t="shared" si="2"/>
        <v>483.75851407559344</v>
      </c>
      <c r="F11" s="18">
        <v>490</v>
      </c>
      <c r="G11" s="19">
        <f t="shared" si="3"/>
        <v>6.241485924406561</v>
      </c>
    </row>
    <row r="12" spans="1:7" s="10" customFormat="1" ht="15">
      <c r="A12" s="2" t="s">
        <v>76</v>
      </c>
      <c r="B12" s="15">
        <v>9.99</v>
      </c>
      <c r="C12" s="16">
        <f t="shared" si="0"/>
        <v>1.122022663031243</v>
      </c>
      <c r="D12" s="16">
        <f t="shared" si="1"/>
        <v>11.112022663031244</v>
      </c>
      <c r="E12" s="17">
        <f t="shared" si="2"/>
        <v>512.4864852190009</v>
      </c>
      <c r="F12" s="18">
        <f>518+3</f>
        <v>521</v>
      </c>
      <c r="G12" s="19">
        <f t="shared" si="3"/>
        <v>8.513514780999117</v>
      </c>
    </row>
    <row r="13" spans="1:7" s="10" customFormat="1" ht="15">
      <c r="A13" s="2" t="s">
        <v>80</v>
      </c>
      <c r="B13" s="15">
        <v>15.15</v>
      </c>
      <c r="C13" s="16">
        <f t="shared" si="0"/>
        <v>1.701565900392726</v>
      </c>
      <c r="D13" s="16">
        <f t="shared" si="1"/>
        <v>16.851565900392725</v>
      </c>
      <c r="E13" s="17">
        <f t="shared" si="2"/>
        <v>777.1942193261124</v>
      </c>
      <c r="F13" s="18">
        <f>772+5</f>
        <v>777</v>
      </c>
      <c r="G13" s="19">
        <f t="shared" si="3"/>
        <v>-0.1942193261123748</v>
      </c>
    </row>
    <row r="14" spans="1:7" s="10" customFormat="1" ht="15">
      <c r="A14" s="2" t="s">
        <v>66</v>
      </c>
      <c r="B14" s="15">
        <v>10.64</v>
      </c>
      <c r="C14" s="16">
        <f t="shared" si="0"/>
        <v>1.1950271406058484</v>
      </c>
      <c r="D14" s="16">
        <f t="shared" si="1"/>
        <v>11.835027140605849</v>
      </c>
      <c r="E14" s="17">
        <f t="shared" si="2"/>
        <v>545.8314517247417</v>
      </c>
      <c r="F14" s="18">
        <v>593</v>
      </c>
      <c r="G14" s="19">
        <f t="shared" si="3"/>
        <v>47.16854827525833</v>
      </c>
    </row>
    <row r="15" spans="1:7" s="10" customFormat="1" ht="15">
      <c r="A15" s="2" t="s">
        <v>59</v>
      </c>
      <c r="B15" s="15">
        <v>7.32</v>
      </c>
      <c r="C15" s="16">
        <f t="shared" si="0"/>
        <v>0.8221427320709408</v>
      </c>
      <c r="D15" s="16">
        <f t="shared" si="1"/>
        <v>8.14214273207094</v>
      </c>
      <c r="E15" s="17">
        <f t="shared" si="2"/>
        <v>375.51562280311174</v>
      </c>
      <c r="F15" s="18">
        <v>373</v>
      </c>
      <c r="G15" s="19">
        <f t="shared" si="3"/>
        <v>-2.5156228031117394</v>
      </c>
    </row>
    <row r="16" spans="1:7" s="10" customFormat="1" ht="15">
      <c r="A16" s="49" t="s">
        <v>11</v>
      </c>
      <c r="B16" s="15">
        <v>10.64</v>
      </c>
      <c r="C16" s="16">
        <f t="shared" si="0"/>
        <v>1.1950271406058484</v>
      </c>
      <c r="D16" s="16">
        <f t="shared" si="1"/>
        <v>11.835027140605849</v>
      </c>
      <c r="E16" s="17">
        <f t="shared" si="2"/>
        <v>545.8314517247417</v>
      </c>
      <c r="F16" s="18">
        <v>542</v>
      </c>
      <c r="G16" s="19">
        <f t="shared" si="3"/>
        <v>-3.831451724741669</v>
      </c>
    </row>
    <row r="17" spans="1:7" s="10" customFormat="1" ht="15">
      <c r="A17" s="49" t="s">
        <v>138</v>
      </c>
      <c r="B17" s="15">
        <f>150.01+47.55</f>
        <v>197.56</v>
      </c>
      <c r="C17" s="16">
        <f t="shared" si="0"/>
        <v>22.18886859944468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399.77</v>
      </c>
      <c r="C18" s="24">
        <v>44.9</v>
      </c>
      <c r="D18" s="21"/>
      <c r="E18" s="22"/>
      <c r="F18" s="22"/>
      <c r="G18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10" customFormat="1" ht="21.75" customHeight="1">
      <c r="A1" s="6" t="s">
        <v>126</v>
      </c>
      <c r="B1" s="7">
        <v>41675</v>
      </c>
      <c r="C1" s="7"/>
      <c r="D1" s="8" t="s">
        <v>127</v>
      </c>
      <c r="E1" s="9">
        <v>47.88</v>
      </c>
      <c r="G1" s="10" t="s">
        <v>128</v>
      </c>
    </row>
    <row r="2" s="10" customFormat="1" ht="23.25" customHeight="1">
      <c r="A2" s="11" t="s">
        <v>160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80</v>
      </c>
      <c r="B4" s="15">
        <v>12.89</v>
      </c>
      <c r="C4" s="16">
        <f aca="true" t="shared" si="0" ref="C4:C18">B4/$B$19*$C$19</f>
        <v>1.3884821150109157</v>
      </c>
      <c r="D4" s="16">
        <f aca="true" t="shared" si="1" ref="D4:D17">B4+C4</f>
        <v>14.278482115010917</v>
      </c>
      <c r="E4" s="17">
        <f aca="true" t="shared" si="2" ref="E4:E17">D4*$E$1</f>
        <v>683.6537236667227</v>
      </c>
      <c r="F4" s="18">
        <v>698</v>
      </c>
      <c r="G4" s="19">
        <f>F4-E4</f>
        <v>14.346276333277274</v>
      </c>
    </row>
    <row r="5" spans="1:7" s="10" customFormat="1" ht="15">
      <c r="A5" s="2" t="s">
        <v>39</v>
      </c>
      <c r="B5" s="15">
        <v>157.81</v>
      </c>
      <c r="C5" s="16">
        <f t="shared" si="0"/>
        <v>16.998942014730222</v>
      </c>
      <c r="D5" s="16">
        <f t="shared" si="1"/>
        <v>174.80894201473023</v>
      </c>
      <c r="E5" s="17">
        <f t="shared" si="2"/>
        <v>8369.852143665285</v>
      </c>
      <c r="F5" s="18">
        <v>8550</v>
      </c>
      <c r="G5" s="19">
        <f>F5-E5</f>
        <v>180.14785633471547</v>
      </c>
    </row>
    <row r="6" spans="1:8" s="10" customFormat="1" ht="15">
      <c r="A6" s="2" t="s">
        <v>37</v>
      </c>
      <c r="B6" s="15">
        <v>20.27</v>
      </c>
      <c r="C6" s="16">
        <f t="shared" si="0"/>
        <v>2.183439291797615</v>
      </c>
      <c r="D6" s="16">
        <f t="shared" si="1"/>
        <v>22.453439291797615</v>
      </c>
      <c r="E6" s="17">
        <f t="shared" si="2"/>
        <v>1075.07067329127</v>
      </c>
      <c r="F6" s="18">
        <v>1098</v>
      </c>
      <c r="G6" s="19">
        <f>F6-E6-23</f>
        <v>-0.07067329126994082</v>
      </c>
      <c r="H6" s="66" t="s">
        <v>161</v>
      </c>
    </row>
    <row r="7" spans="1:9" s="10" customFormat="1" ht="15">
      <c r="A7" s="2" t="s">
        <v>65</v>
      </c>
      <c r="B7" s="15">
        <v>17.06</v>
      </c>
      <c r="C7" s="16">
        <f t="shared" si="0"/>
        <v>1.8376652352277902</v>
      </c>
      <c r="D7" s="16">
        <f t="shared" si="1"/>
        <v>18.897665235227787</v>
      </c>
      <c r="E7" s="17">
        <f t="shared" si="2"/>
        <v>904.8202114627065</v>
      </c>
      <c r="F7" s="18">
        <v>925</v>
      </c>
      <c r="G7" s="19">
        <f>F7-E7-13</f>
        <v>7.179788537293462</v>
      </c>
      <c r="H7" s="66" t="s">
        <v>162</v>
      </c>
      <c r="I7" s="66"/>
    </row>
    <row r="8" spans="1:9" s="10" customFormat="1" ht="15">
      <c r="A8" s="2" t="s">
        <v>21</v>
      </c>
      <c r="B8" s="15">
        <v>18.91</v>
      </c>
      <c r="C8" s="16">
        <f t="shared" si="0"/>
        <v>2.036943118297627</v>
      </c>
      <c r="D8" s="16">
        <f t="shared" si="1"/>
        <v>20.94694311829763</v>
      </c>
      <c r="E8" s="17">
        <f t="shared" si="2"/>
        <v>1002.9396365040905</v>
      </c>
      <c r="F8" s="18">
        <v>1025</v>
      </c>
      <c r="G8" s="19">
        <f>F8-E8</f>
        <v>22.06036349590954</v>
      </c>
      <c r="H8" s="66"/>
      <c r="I8" s="66"/>
    </row>
    <row r="9" spans="1:9" s="10" customFormat="1" ht="15">
      <c r="A9" s="2" t="s">
        <v>25</v>
      </c>
      <c r="B9" s="15">
        <v>20.72</v>
      </c>
      <c r="C9" s="16">
        <f t="shared" si="0"/>
        <v>2.2319122903821698</v>
      </c>
      <c r="D9" s="16">
        <f t="shared" si="1"/>
        <v>22.951912290382168</v>
      </c>
      <c r="E9" s="17">
        <f t="shared" si="2"/>
        <v>1098.9375604634984</v>
      </c>
      <c r="F9" s="18">
        <v>1123</v>
      </c>
      <c r="G9" s="19">
        <f>F9-E9</f>
        <v>24.062439536501643</v>
      </c>
      <c r="H9" s="66"/>
      <c r="I9" s="66"/>
    </row>
    <row r="10" spans="1:9" s="10" customFormat="1" ht="15">
      <c r="A10" s="2" t="s">
        <v>84</v>
      </c>
      <c r="B10" s="15">
        <v>13.84</v>
      </c>
      <c r="C10" s="16">
        <f t="shared" si="0"/>
        <v>1.4908140009116424</v>
      </c>
      <c r="D10" s="16">
        <f t="shared" si="1"/>
        <v>15.330814000911642</v>
      </c>
      <c r="E10" s="17">
        <f t="shared" si="2"/>
        <v>734.0393743636495</v>
      </c>
      <c r="F10" s="18">
        <v>754</v>
      </c>
      <c r="G10" s="19">
        <f>F10-E10</f>
        <v>19.960625636350528</v>
      </c>
      <c r="H10" s="66"/>
      <c r="I10" s="66"/>
    </row>
    <row r="11" spans="1:9" s="10" customFormat="1" ht="15">
      <c r="A11" s="2" t="s">
        <v>12</v>
      </c>
      <c r="B11" s="15">
        <v>8.85</v>
      </c>
      <c r="C11" s="16">
        <f t="shared" si="0"/>
        <v>0.9533023054962453</v>
      </c>
      <c r="D11" s="16">
        <f t="shared" si="1"/>
        <v>9.803302305496246</v>
      </c>
      <c r="E11" s="17">
        <f t="shared" si="2"/>
        <v>469.38211438716024</v>
      </c>
      <c r="F11" s="18">
        <v>480</v>
      </c>
      <c r="G11" s="19">
        <f>F11-E11</f>
        <v>10.617885612839757</v>
      </c>
      <c r="H11" s="66"/>
      <c r="I11" s="66"/>
    </row>
    <row r="12" spans="1:9" s="10" customFormat="1" ht="15">
      <c r="A12" s="2" t="s">
        <v>86</v>
      </c>
      <c r="B12" s="15">
        <v>13.74</v>
      </c>
      <c r="C12" s="16">
        <f t="shared" si="0"/>
        <v>1.480042223448408</v>
      </c>
      <c r="D12" s="16">
        <f t="shared" si="1"/>
        <v>15.220042223448408</v>
      </c>
      <c r="E12" s="17">
        <f t="shared" si="2"/>
        <v>728.7356216587098</v>
      </c>
      <c r="F12" s="18">
        <v>744</v>
      </c>
      <c r="G12" s="19">
        <f>F12-E12</f>
        <v>15.26437834129024</v>
      </c>
      <c r="H12" s="66"/>
      <c r="I12" s="66"/>
    </row>
    <row r="13" spans="1:9" s="10" customFormat="1" ht="15">
      <c r="A13" s="2" t="s">
        <v>111</v>
      </c>
      <c r="B13" s="15">
        <v>10.03</v>
      </c>
      <c r="C13" s="16">
        <f t="shared" si="0"/>
        <v>1.0804092795624114</v>
      </c>
      <c r="D13" s="16">
        <f t="shared" si="1"/>
        <v>11.110409279562411</v>
      </c>
      <c r="E13" s="17">
        <f t="shared" si="2"/>
        <v>531.9663963054483</v>
      </c>
      <c r="F13" s="18">
        <f>530+13</f>
        <v>543</v>
      </c>
      <c r="G13" s="19">
        <f>F13-E13-11</f>
        <v>0.0336036945517435</v>
      </c>
      <c r="H13" s="66" t="s">
        <v>163</v>
      </c>
      <c r="I13" s="66"/>
    </row>
    <row r="14" spans="1:9" s="10" customFormat="1" ht="15">
      <c r="A14" s="2" t="s">
        <v>99</v>
      </c>
      <c r="B14" s="15">
        <v>24.73</v>
      </c>
      <c r="C14" s="16">
        <f t="shared" si="0"/>
        <v>2.6638605666578696</v>
      </c>
      <c r="D14" s="16">
        <f t="shared" si="1"/>
        <v>27.39386056665787</v>
      </c>
      <c r="E14" s="17">
        <f t="shared" si="2"/>
        <v>1311.618043931579</v>
      </c>
      <c r="F14" s="18">
        <v>1340</v>
      </c>
      <c r="G14" s="19">
        <f>F14-E14</f>
        <v>28.381956068421005</v>
      </c>
      <c r="H14" s="66"/>
      <c r="I14" s="66"/>
    </row>
    <row r="15" spans="1:9" s="10" customFormat="1" ht="15">
      <c r="A15" s="49" t="s">
        <v>72</v>
      </c>
      <c r="B15" s="15">
        <v>33.62</v>
      </c>
      <c r="C15" s="16">
        <f t="shared" si="0"/>
        <v>3.621471583139409</v>
      </c>
      <c r="D15" s="16">
        <f t="shared" si="1"/>
        <v>37.24147158313941</v>
      </c>
      <c r="E15" s="17">
        <f t="shared" si="2"/>
        <v>1783.1216594007149</v>
      </c>
      <c r="F15" s="18">
        <v>1822</v>
      </c>
      <c r="G15" s="19">
        <f>F15-E15-39</f>
        <v>-0.12165940071486148</v>
      </c>
      <c r="H15" s="66" t="s">
        <v>164</v>
      </c>
      <c r="I15" s="66"/>
    </row>
    <row r="16" spans="1:9" s="10" customFormat="1" ht="15">
      <c r="A16" s="49" t="s">
        <v>89</v>
      </c>
      <c r="B16" s="15">
        <v>5.95</v>
      </c>
      <c r="C16" s="16">
        <f t="shared" si="0"/>
        <v>0.6409207590624474</v>
      </c>
      <c r="D16" s="16">
        <f t="shared" si="1"/>
        <v>6.590920759062447</v>
      </c>
      <c r="E16" s="17">
        <f t="shared" si="2"/>
        <v>315.57328594391</v>
      </c>
      <c r="F16" s="18">
        <v>322</v>
      </c>
      <c r="G16" s="19">
        <f>F16-E16</f>
        <v>6.42671405609002</v>
      </c>
      <c r="H16" s="66"/>
      <c r="I16" s="66"/>
    </row>
    <row r="17" spans="1:10" s="10" customFormat="1" ht="15">
      <c r="A17" s="49" t="s">
        <v>95</v>
      </c>
      <c r="B17" s="15">
        <v>27.3</v>
      </c>
      <c r="C17" s="16">
        <f t="shared" si="0"/>
        <v>2.9406952474629944</v>
      </c>
      <c r="D17" s="16">
        <f t="shared" si="1"/>
        <v>30.240695247462995</v>
      </c>
      <c r="E17" s="17">
        <f t="shared" si="2"/>
        <v>1447.9244884485283</v>
      </c>
      <c r="F17" s="18">
        <v>1479</v>
      </c>
      <c r="G17" s="19">
        <f>F17-E17-31</f>
        <v>0.07551155147166355</v>
      </c>
      <c r="H17" s="66">
        <f>3200-F17</f>
        <v>1721</v>
      </c>
      <c r="I17" s="66" t="s">
        <v>165</v>
      </c>
      <c r="J17" s="10" t="s">
        <v>166</v>
      </c>
    </row>
    <row r="18" spans="1:7" s="10" customFormat="1" ht="15">
      <c r="A18" s="49" t="s">
        <v>138</v>
      </c>
      <c r="B18" s="15">
        <v>31.11</v>
      </c>
      <c r="C18" s="16">
        <f t="shared" si="0"/>
        <v>3.3510999688122256</v>
      </c>
      <c r="D18" s="21"/>
      <c r="E18" s="22"/>
      <c r="F18" s="22"/>
      <c r="G18" s="22"/>
    </row>
    <row r="19" spans="1:7" s="10" customFormat="1" ht="15">
      <c r="A19" s="23"/>
      <c r="B19" s="24">
        <f>SUM(B4:B18)</f>
        <v>416.83000000000004</v>
      </c>
      <c r="C19" s="24">
        <v>44.9</v>
      </c>
      <c r="D19" s="21"/>
      <c r="E19" s="22"/>
      <c r="F19" s="22"/>
      <c r="G19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167</v>
      </c>
    </row>
    <row r="26" ht="31.5">
      <c r="A26" s="56" t="s">
        <v>12</v>
      </c>
    </row>
    <row r="27" ht="15">
      <c r="A27" s="59" t="s">
        <v>168</v>
      </c>
    </row>
    <row r="28" ht="31.5">
      <c r="A28" s="56" t="s">
        <v>21</v>
      </c>
    </row>
    <row r="29" ht="15">
      <c r="A29" t="s">
        <v>169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10" customFormat="1" ht="21.75" customHeight="1">
      <c r="A1" s="6" t="s">
        <v>126</v>
      </c>
      <c r="B1" s="7">
        <v>41695</v>
      </c>
      <c r="C1" s="7"/>
      <c r="D1" s="8" t="s">
        <v>127</v>
      </c>
      <c r="E1" s="9">
        <v>50.11</v>
      </c>
      <c r="G1" s="10" t="s">
        <v>128</v>
      </c>
    </row>
    <row r="2" s="10" customFormat="1" ht="23.25" customHeight="1">
      <c r="A2" s="11" t="s">
        <v>170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19</v>
      </c>
      <c r="B4" s="15">
        <v>17.69</v>
      </c>
      <c r="C4" s="16">
        <f>B4/$B$15*$C$15</f>
        <v>1.8134263474812753</v>
      </c>
      <c r="D4" s="16">
        <f>B4+C4</f>
        <v>19.503426347481277</v>
      </c>
      <c r="E4" s="17">
        <f>D4*$E$1</f>
        <v>977.3166942722868</v>
      </c>
      <c r="F4" s="18">
        <f>932+45</f>
        <v>977</v>
      </c>
      <c r="G4" s="19">
        <f>F4-E4</f>
        <v>-0.3166942722867816</v>
      </c>
    </row>
    <row r="5" spans="1:7" s="10" customFormat="1" ht="15">
      <c r="A5" s="2" t="s">
        <v>38</v>
      </c>
      <c r="B5" s="15">
        <v>45.3</v>
      </c>
      <c r="C5" s="16">
        <f>B5/$B$15*$C$15</f>
        <v>4.643765604347188</v>
      </c>
      <c r="D5" s="16">
        <f>B5+C5</f>
        <v>49.943765604347185</v>
      </c>
      <c r="E5" s="17">
        <f>D5*$E$1</f>
        <v>2502.6820944338374</v>
      </c>
      <c r="F5" s="18">
        <v>2387</v>
      </c>
      <c r="G5" s="19">
        <f>F5-E5+116</f>
        <v>0.317905566162608</v>
      </c>
    </row>
    <row r="6" spans="1:8" s="10" customFormat="1" ht="15">
      <c r="A6" s="2" t="s">
        <v>25</v>
      </c>
      <c r="B6" s="15">
        <v>14.25</v>
      </c>
      <c r="C6" s="16">
        <f>B6/$B$15*$C$15</f>
        <v>1.4607871934204733</v>
      </c>
      <c r="D6" s="16">
        <f>B6+C6</f>
        <v>15.710787193420472</v>
      </c>
      <c r="E6" s="17">
        <f>D6*$E$1</f>
        <v>787.2675462622999</v>
      </c>
      <c r="F6" s="18">
        <v>677</v>
      </c>
      <c r="G6" s="19">
        <f>F6-E6+50+36</f>
        <v>-24.267546262299902</v>
      </c>
      <c r="H6" s="10" t="s">
        <v>171</v>
      </c>
    </row>
    <row r="7" spans="1:8" s="10" customFormat="1" ht="15">
      <c r="A7" s="2" t="s">
        <v>172</v>
      </c>
      <c r="B7" s="15">
        <v>14.35</v>
      </c>
      <c r="C7" s="16">
        <f>B7/$B$15*$C$15</f>
        <v>1.4710383316199152</v>
      </c>
      <c r="D7" s="16">
        <f>B7+C7</f>
        <v>15.821038331619915</v>
      </c>
      <c r="E7" s="17">
        <f>D7*$E$1</f>
        <v>792.792230797474</v>
      </c>
      <c r="F7" s="18">
        <f>766+3+37</f>
        <v>806</v>
      </c>
      <c r="G7" s="19">
        <f>F7-E7-13+37</f>
        <v>37.20776920252604</v>
      </c>
      <c r="H7" s="65"/>
    </row>
    <row r="8" spans="1:7" s="10" customFormat="1" ht="15">
      <c r="A8" s="2" t="s">
        <v>32</v>
      </c>
      <c r="B8" s="15">
        <v>23.62</v>
      </c>
      <c r="C8" s="16">
        <f>B8/$B$15*$C$15</f>
        <v>2.4213188427081804</v>
      </c>
      <c r="D8" s="16">
        <f>B8+C8</f>
        <v>26.041318842708183</v>
      </c>
      <c r="E8" s="17">
        <f>D8*$E$1</f>
        <v>1304.930487208107</v>
      </c>
      <c r="F8" s="18">
        <v>1245</v>
      </c>
      <c r="G8" s="19">
        <f>F8-E8</f>
        <v>-59.930487208107024</v>
      </c>
    </row>
    <row r="9" spans="1:8" s="10" customFormat="1" ht="15">
      <c r="A9" s="2" t="s">
        <v>67</v>
      </c>
      <c r="B9" s="50" t="s">
        <v>173</v>
      </c>
      <c r="C9" s="51"/>
      <c r="D9" s="51"/>
      <c r="E9" s="52"/>
      <c r="F9" s="18">
        <v>344</v>
      </c>
      <c r="G9" s="19">
        <f>F9-E9-344</f>
        <v>0</v>
      </c>
      <c r="H9" s="10" t="s">
        <v>174</v>
      </c>
    </row>
    <row r="10" spans="1:8" s="10" customFormat="1" ht="15">
      <c r="A10" s="2" t="s">
        <v>52</v>
      </c>
      <c r="B10" s="15">
        <v>12.35</v>
      </c>
      <c r="C10" s="16">
        <f>B10/$B$15*$C$15</f>
        <v>1.2660155676310767</v>
      </c>
      <c r="D10" s="16">
        <f>B10+C10</f>
        <v>13.616015567631077</v>
      </c>
      <c r="E10" s="17">
        <f>D10*$E$1</f>
        <v>682.2985400939933</v>
      </c>
      <c r="F10" s="18">
        <f>451+200</f>
        <v>651</v>
      </c>
      <c r="G10" s="19">
        <f>F10-E10+31</f>
        <v>-0.29854009399332426</v>
      </c>
      <c r="H10" s="10" t="s">
        <v>175</v>
      </c>
    </row>
    <row r="11" spans="1:7" s="10" customFormat="1" ht="15">
      <c r="A11" s="2" t="s">
        <v>124</v>
      </c>
      <c r="B11" s="15">
        <v>18.71</v>
      </c>
      <c r="C11" s="16">
        <f>B11/$B$15*$C$15</f>
        <v>1.917987957115583</v>
      </c>
      <c r="D11" s="16">
        <f>B11+C11</f>
        <v>20.627987957115582</v>
      </c>
      <c r="E11" s="17">
        <f>D11*$E$1</f>
        <v>1033.6684765310617</v>
      </c>
      <c r="F11" s="18">
        <f>986+48</f>
        <v>1034</v>
      </c>
      <c r="G11" s="19">
        <f>F11-E11</f>
        <v>0.3315234689382578</v>
      </c>
    </row>
    <row r="12" spans="1:8" s="10" customFormat="1" ht="15">
      <c r="A12" s="2" t="s">
        <v>74</v>
      </c>
      <c r="B12" s="15">
        <v>37.76</v>
      </c>
      <c r="C12" s="16">
        <f>B12/$B$15*$C$15</f>
        <v>3.8708297841092674</v>
      </c>
      <c r="D12" s="16">
        <f>B12+C12</f>
        <v>41.63082978410927</v>
      </c>
      <c r="E12" s="17">
        <f>D12*$E$1</f>
        <v>2086.120880481715</v>
      </c>
      <c r="F12" s="18">
        <v>1990</v>
      </c>
      <c r="G12" s="19">
        <f>F12-E12+96</f>
        <v>-0.12088048171517585</v>
      </c>
      <c r="H12" s="10" t="s">
        <v>176</v>
      </c>
    </row>
    <row r="13" spans="1:8" s="10" customFormat="1" ht="15">
      <c r="A13" s="2" t="s">
        <v>13</v>
      </c>
      <c r="B13" s="15">
        <v>10.64</v>
      </c>
      <c r="C13" s="16">
        <f>B13/$B$15*$C$15</f>
        <v>1.09072110442062</v>
      </c>
      <c r="D13" s="16">
        <f>B13+C13</f>
        <v>11.73072110442062</v>
      </c>
      <c r="E13" s="17">
        <f>D13*$E$1</f>
        <v>587.8264345425173</v>
      </c>
      <c r="F13" s="18">
        <v>572</v>
      </c>
      <c r="G13" s="19">
        <f>F13-E13-11+27</f>
        <v>0.17356545748270946</v>
      </c>
      <c r="H13" s="10" t="s">
        <v>177</v>
      </c>
    </row>
    <row r="14" spans="1:7" s="10" customFormat="1" ht="15">
      <c r="A14" s="49" t="s">
        <v>138</v>
      </c>
      <c r="B14" s="15">
        <v>145.78</v>
      </c>
      <c r="C14" s="16">
        <f>B14/$B$15*$C$15</f>
        <v>14.944109267146427</v>
      </c>
      <c r="D14" s="21"/>
      <c r="E14" s="22"/>
      <c r="F14" s="22"/>
      <c r="G14" s="22"/>
    </row>
    <row r="15" spans="1:7" s="10" customFormat="1" ht="15">
      <c r="A15" s="23"/>
      <c r="B15" s="24">
        <f>SUM(B4:B14)</f>
        <v>340.44999999999993</v>
      </c>
      <c r="C15" s="24">
        <v>34.9</v>
      </c>
      <c r="D15" s="21"/>
      <c r="E15" s="22"/>
      <c r="F15" s="22"/>
      <c r="G15" s="22"/>
    </row>
    <row r="17" ht="35.25" customHeight="1">
      <c r="A17" s="55" t="s">
        <v>154</v>
      </c>
    </row>
    <row r="18" ht="31.5">
      <c r="A18" s="56" t="s">
        <v>25</v>
      </c>
    </row>
    <row r="19" ht="15">
      <c r="A19" s="59" t="s">
        <v>178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10" customFormat="1" ht="21.75" customHeight="1">
      <c r="A1" s="6" t="s">
        <v>126</v>
      </c>
      <c r="B1" s="7">
        <v>41720</v>
      </c>
      <c r="C1" s="7"/>
      <c r="D1" s="8" t="s">
        <v>127</v>
      </c>
      <c r="E1" s="9">
        <v>51.35</v>
      </c>
      <c r="G1" s="10" t="s">
        <v>128</v>
      </c>
    </row>
    <row r="2" s="10" customFormat="1" ht="23.25" customHeight="1">
      <c r="A2" s="11" t="s">
        <v>179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31</v>
      </c>
      <c r="B4" s="15">
        <v>77.65</v>
      </c>
      <c r="C4" s="16">
        <f aca="true" t="shared" si="0" ref="C4:C13">B4/$B$14*$C$14</f>
        <v>9.296301727815699</v>
      </c>
      <c r="D4" s="16">
        <f aca="true" t="shared" si="1" ref="D4:D12">B4+C4</f>
        <v>86.94630172781571</v>
      </c>
      <c r="E4" s="17">
        <f aca="true" t="shared" si="2" ref="E4:E12">D4*$E$1</f>
        <v>4464.692593723336</v>
      </c>
      <c r="F4" s="18">
        <f>4450+15</f>
        <v>4465</v>
      </c>
      <c r="G4" s="19">
        <f aca="true" t="shared" si="3" ref="G4:G12">F4-E4</f>
        <v>0.3074062766636416</v>
      </c>
    </row>
    <row r="5" spans="1:7" s="10" customFormat="1" ht="15">
      <c r="A5" s="2" t="s">
        <v>5</v>
      </c>
      <c r="B5" s="15">
        <v>6.86</v>
      </c>
      <c r="C5" s="16">
        <f t="shared" si="0"/>
        <v>0.8212830631399318</v>
      </c>
      <c r="D5" s="16">
        <f t="shared" si="1"/>
        <v>7.681283063139932</v>
      </c>
      <c r="E5" s="17">
        <f t="shared" si="2"/>
        <v>394.4338852922355</v>
      </c>
      <c r="F5" s="18">
        <v>393</v>
      </c>
      <c r="G5" s="19">
        <f t="shared" si="3"/>
        <v>-1.4338852922355159</v>
      </c>
    </row>
    <row r="6" spans="1:7" s="10" customFormat="1" ht="15">
      <c r="A6" s="2" t="s">
        <v>180</v>
      </c>
      <c r="B6" s="15">
        <v>18.21</v>
      </c>
      <c r="C6" s="16">
        <f t="shared" si="0"/>
        <v>2.180111454778157</v>
      </c>
      <c r="D6" s="16">
        <f t="shared" si="1"/>
        <v>20.390111454778157</v>
      </c>
      <c r="E6" s="17">
        <f t="shared" si="2"/>
        <v>1047.0322232028584</v>
      </c>
      <c r="F6" s="18">
        <v>1034</v>
      </c>
      <c r="G6" s="19">
        <f t="shared" si="3"/>
        <v>-13.032223202858404</v>
      </c>
    </row>
    <row r="7" spans="1:8" s="10" customFormat="1" ht="15">
      <c r="A7" s="2" t="s">
        <v>181</v>
      </c>
      <c r="B7" s="15">
        <v>30.91</v>
      </c>
      <c r="C7" s="16">
        <f t="shared" si="0"/>
        <v>3.7005626066552897</v>
      </c>
      <c r="D7" s="16">
        <f t="shared" si="1"/>
        <v>34.61056260665529</v>
      </c>
      <c r="E7" s="17">
        <f t="shared" si="2"/>
        <v>1777.2523898517493</v>
      </c>
      <c r="F7" s="18">
        <v>1777</v>
      </c>
      <c r="G7" s="19">
        <f t="shared" si="3"/>
        <v>-0.2523898517492853</v>
      </c>
      <c r="H7" s="65"/>
    </row>
    <row r="8" spans="1:7" s="10" customFormat="1" ht="15">
      <c r="A8" s="2" t="s">
        <v>182</v>
      </c>
      <c r="B8" s="15">
        <v>31.12</v>
      </c>
      <c r="C8" s="16">
        <f t="shared" si="0"/>
        <v>3.7257039249146757</v>
      </c>
      <c r="D8" s="16">
        <f t="shared" si="1"/>
        <v>34.84570392491467</v>
      </c>
      <c r="E8" s="17">
        <f t="shared" si="2"/>
        <v>1789.3268965443685</v>
      </c>
      <c r="F8" s="18">
        <v>1789</v>
      </c>
      <c r="G8" s="19">
        <f t="shared" si="3"/>
        <v>-0.32689654436853743</v>
      </c>
    </row>
    <row r="9" spans="1:7" s="10" customFormat="1" ht="15">
      <c r="A9" s="2" t="s">
        <v>25</v>
      </c>
      <c r="B9" s="15">
        <v>26.21</v>
      </c>
      <c r="C9" s="16">
        <f t="shared" si="0"/>
        <v>3.1378759598976105</v>
      </c>
      <c r="D9" s="16">
        <f t="shared" si="1"/>
        <v>29.34787595989761</v>
      </c>
      <c r="E9" s="17">
        <f t="shared" si="2"/>
        <v>1507.0134305407423</v>
      </c>
      <c r="F9" s="18">
        <f>1502+5</f>
        <v>1507</v>
      </c>
      <c r="G9" s="19">
        <f t="shared" si="3"/>
        <v>-0.013430540742319863</v>
      </c>
    </row>
    <row r="10" spans="1:7" s="10" customFormat="1" ht="15">
      <c r="A10" s="2" t="s">
        <v>183</v>
      </c>
      <c r="B10" s="15">
        <v>18.71</v>
      </c>
      <c r="C10" s="16">
        <f t="shared" si="0"/>
        <v>2.2399717363481226</v>
      </c>
      <c r="D10" s="16">
        <f t="shared" si="1"/>
        <v>20.949971736348125</v>
      </c>
      <c r="E10" s="17">
        <f t="shared" si="2"/>
        <v>1075.7810486614762</v>
      </c>
      <c r="F10" s="18">
        <v>892</v>
      </c>
      <c r="G10" s="19">
        <f t="shared" si="3"/>
        <v>-183.78104866147623</v>
      </c>
    </row>
    <row r="11" spans="1:7" s="10" customFormat="1" ht="15">
      <c r="A11" s="2" t="s">
        <v>98</v>
      </c>
      <c r="B11" s="15">
        <v>8.58</v>
      </c>
      <c r="C11" s="16">
        <f t="shared" si="0"/>
        <v>1.0272024317406143</v>
      </c>
      <c r="D11" s="16">
        <f t="shared" si="1"/>
        <v>9.607202431740614</v>
      </c>
      <c r="E11" s="17">
        <f t="shared" si="2"/>
        <v>493.32984486988056</v>
      </c>
      <c r="F11" s="18">
        <v>492</v>
      </c>
      <c r="G11" s="19">
        <f t="shared" si="3"/>
        <v>-1.32984486988056</v>
      </c>
    </row>
    <row r="12" spans="1:7" s="10" customFormat="1" ht="15">
      <c r="A12" s="2" t="s">
        <v>17</v>
      </c>
      <c r="B12" s="15">
        <v>45.15</v>
      </c>
      <c r="C12" s="16">
        <f t="shared" si="0"/>
        <v>5.405383425767917</v>
      </c>
      <c r="D12" s="16">
        <f t="shared" si="1"/>
        <v>50.555383425767914</v>
      </c>
      <c r="E12" s="17">
        <f t="shared" si="2"/>
        <v>2596.0189389131824</v>
      </c>
      <c r="F12" s="18">
        <f>2588+8</f>
        <v>2596</v>
      </c>
      <c r="G12" s="19">
        <f t="shared" si="3"/>
        <v>-0.018938913182410033</v>
      </c>
    </row>
    <row r="13" spans="1:7" s="10" customFormat="1" ht="15">
      <c r="A13" s="49" t="s">
        <v>138</v>
      </c>
      <c r="B13" s="15">
        <v>111.64</v>
      </c>
      <c r="C13" s="16">
        <f t="shared" si="0"/>
        <v>13.365603668941977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375.04</v>
      </c>
      <c r="C14" s="24">
        <v>44.9</v>
      </c>
      <c r="D14" s="21"/>
      <c r="E14" s="22"/>
      <c r="F14" s="22"/>
      <c r="G1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2017-08-04T16:35:49Z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