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939" firstSheet="143" activeTab="151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98" sheetId="100" r:id="rId100"/>
    <sheet name="99" sheetId="101" r:id="rId101"/>
    <sheet name="100" sheetId="102" r:id="rId102"/>
    <sheet name="101" sheetId="103" r:id="rId103"/>
    <sheet name="102" sheetId="104" r:id="rId104"/>
    <sheet name="103" sheetId="105" r:id="rId105"/>
    <sheet name="104" sheetId="106" r:id="rId106"/>
    <sheet name="105" sheetId="107" r:id="rId107"/>
    <sheet name="106" sheetId="108" r:id="rId108"/>
    <sheet name="107" sheetId="109" r:id="rId109"/>
    <sheet name="108" sheetId="110" r:id="rId110"/>
    <sheet name="109" sheetId="111" r:id="rId111"/>
    <sheet name="110" sheetId="112" r:id="rId112"/>
    <sheet name="111" sheetId="113" r:id="rId113"/>
    <sheet name="112" sheetId="114" r:id="rId114"/>
    <sheet name="113" sheetId="115" r:id="rId115"/>
    <sheet name="114" sheetId="116" r:id="rId116"/>
    <sheet name="115" sheetId="117" r:id="rId117"/>
    <sheet name="116" sheetId="118" r:id="rId118"/>
    <sheet name="117" sheetId="119" r:id="rId119"/>
    <sheet name="118" sheetId="120" r:id="rId120"/>
    <sheet name="119" sheetId="121" r:id="rId121"/>
    <sheet name="120" sheetId="122" r:id="rId122"/>
    <sheet name="121" sheetId="123" r:id="rId123"/>
    <sheet name="122" sheetId="124" r:id="rId124"/>
    <sheet name="123" sheetId="125" r:id="rId125"/>
    <sheet name="124" sheetId="126" r:id="rId126"/>
    <sheet name="125" sheetId="127" r:id="rId127"/>
    <sheet name="126" sheetId="128" r:id="rId128"/>
    <sheet name="127" sheetId="129" r:id="rId129"/>
    <sheet name="128" sheetId="130" r:id="rId130"/>
    <sheet name="129" sheetId="131" r:id="rId131"/>
    <sheet name="130" sheetId="132" r:id="rId132"/>
    <sheet name="131" sheetId="133" r:id="rId133"/>
    <sheet name="132" sheetId="134" r:id="rId134"/>
    <sheet name="133" sheetId="135" r:id="rId135"/>
    <sheet name="134" sheetId="136" r:id="rId136"/>
    <sheet name="135" sheetId="137" r:id="rId137"/>
    <sheet name="136" sheetId="138" r:id="rId138"/>
    <sheet name="137" sheetId="139" r:id="rId139"/>
    <sheet name="138" sheetId="140" r:id="rId140"/>
    <sheet name="139" sheetId="141" r:id="rId141"/>
    <sheet name="140" sheetId="142" r:id="rId142"/>
    <sheet name="141" sheetId="143" r:id="rId143"/>
    <sheet name="142" sheetId="144" r:id="rId144"/>
    <sheet name="143" sheetId="145" r:id="rId145"/>
    <sheet name="144" sheetId="146" r:id="rId146"/>
    <sheet name="145" sheetId="147" r:id="rId147"/>
    <sheet name="146" sheetId="148" r:id="rId148"/>
    <sheet name="147" sheetId="149" r:id="rId149"/>
    <sheet name="148" sheetId="150" r:id="rId150"/>
    <sheet name="149" sheetId="151" r:id="rId151"/>
    <sheet name="150" sheetId="152" r:id="rId152"/>
    <sheet name="151" sheetId="153" r:id="rId153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<sst xmlns="http://schemas.openxmlformats.org/spreadsheetml/2006/main" count="4945" uniqueCount="1307">
  <si>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</si>
  <si>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</si>
  <si>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</si>
  <si>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</si>
  <si>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</si>
  <si>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</si>
  <si>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</si>
  <si>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</si>
  <si>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</si>
  <si>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</si>
  <si>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</si>
  <si>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</si>
  <si>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</si>
  <si>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</si>
  <si>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</si>
  <si>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</si>
  <si>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</si>
  <si>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</si>
  <si>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</si>
  <si>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</si>
  <si>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</si>
  <si>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</si>
  <si>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</si>
  <si>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</si>
  <si>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</si>
  <si>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</si>
  <si>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</si>
  <si>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</si>
  <si>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</si>
  <si>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</si>
  <si>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</si>
  <si>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</si>
  <si>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</si>
  <si>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</si>
  <si>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</si>
  <si>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</si>
  <si>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</si>
  <si>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</si>
  <si>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</si>
  <si>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</si>
  <si>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</si>
  <si>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</si>
  <si>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</si>
  <si>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</si>
  <si>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</si>
  <si>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</si>
  <si>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</si>
  <si>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</si>
  <si>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</si>
  <si>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</si>
  <si>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</si>
  <si>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</si>
  <si>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</si>
  <si>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</si>
  <si>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</si>
  <si>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</si>
  <si>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</si>
  <si>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</si>
  <si>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</si>
  <si>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</si>
  <si>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</si>
  <si>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</si>
  <si>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</si>
  <si>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</si>
  <si>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</si>
  <si>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</si>
  <si>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</si>
  <si>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</si>
  <si>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</si>
  <si>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</si>
  <si>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</si>
  <si>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</si>
  <si>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</si>
  <si>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</si>
  <si>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</si>
  <si>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</si>
  <si>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</si>
  <si>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</si>
  <si>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</si>
  <si>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</si>
  <si>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</si>
  <si>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</si>
  <si>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</si>
  <si>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</si>
  <si>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</si>
  <si>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</si>
  <si>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</si>
  <si>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</si>
  <si>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</si>
  <si>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</si>
  <si>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</si>
  <si>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</si>
  <si>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</si>
  <si>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</si>
  <si>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</si>
  <si>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</si>
  <si>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</si>
  <si>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</si>
  <si>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</si>
  <si>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</si>
  <si>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</si>
  <si>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</si>
  <si>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</si>
  <si>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</si>
  <si>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</si>
  <si>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</si>
  <si>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</si>
  <si>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</si>
  <si>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</si>
  <si>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</si>
  <si>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</si>
  <si>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</si>
  <si>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</si>
  <si>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</si>
  <si>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</si>
  <si>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</si>
  <si>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</si>
  <si>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</si>
  <si>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</si>
  <si>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</si>
  <si>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</si>
  <si>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</si>
  <si>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</si>
  <si>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</si>
  <si>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</si>
  <si>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</si>
  <si>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</si>
  <si>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</si>
  <si>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</si>
  <si>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</si>
  <si>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</si>
  <si>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</si>
  <si>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</si>
  <si>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</si>
  <si>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</si>
  <si>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</si>
  <si>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</si>
  <si>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</si>
  <si>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</si>
  <si>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</si>
  <si>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</si>
  <si>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</si>
  <si>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</si>
  <si>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</si>
  <si>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</si>
  <si>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</si>
  <si>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</si>
  <si>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</si>
  <si>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</si>
  <si>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</si>
  <si>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</si>
  <si>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</si>
  <si>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</si>
  <si>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</si>
  <si>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</si>
  <si>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</si>
  <si>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</si>
  <si>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</si>
  <si>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</si>
  <si>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</si>
  <si>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</si>
  <si>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</si>
  <si>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</si>
  <si>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</si>
  <si>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</si>
  <si>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</si>
  <si>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</si>
  <si>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</si>
  <si>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</si>
  <si>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</si>
  <si>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</si>
  <si>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</si>
  <si>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</si>
  <si>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</si>
  <si>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</si>
  <si>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</si>
  <si>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</si>
  <si>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</si>
  <si>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</si>
  <si>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</si>
  <si>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</si>
  <si>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</si>
  <si>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</si>
  <si>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</si>
  <si>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</si>
  <si>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</si>
  <si>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</si>
  <si>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</si>
  <si>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</si>
  <si>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</si>
  <si>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</si>
  <si>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</si>
  <si>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</si>
  <si>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</si>
  <si>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</si>
  <si>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</si>
  <si>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</si>
  <si>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</si>
  <si>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</si>
  <si>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</si>
  <si>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</si>
  <si>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</si>
  <si>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</si>
  <si>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</si>
  <si>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</si>
  <si>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</si>
  <si>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</si>
  <si>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</si>
  <si>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</si>
  <si>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</si>
  <si>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</si>
  <si>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</si>
  <si>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</si>
  <si>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</si>
  <si>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</si>
  <si>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</si>
  <si>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</si>
  <si>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</si>
  <si>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</si>
  <si>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</si>
  <si>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</si>
  <si>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</si>
  <si>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</si>
  <si>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</si>
  <si>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</si>
  <si>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</si>
  <si>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</si>
  <si>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</si>
  <si>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</si>
  <si>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</si>
  <si>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</si>
  <si>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</si>
  <si>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</si>
  <si>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</si>
  <si>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</si>
  <si>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</si>
  <si>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</si>
  <si>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</si>
  <si>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</si>
  <si>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</si>
  <si>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</si>
  <si>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</si>
  <si>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</si>
  <si>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</si>
  <si>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</si>
  <si>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</si>
  <si>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</si>
  <si>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</si>
  <si>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</si>
  <si>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</si>
  <si>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</si>
  <si>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</si>
  <si>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</si>
  <si>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</si>
  <si>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</si>
  <si>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</si>
  <si>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</si>
  <si>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</si>
  <si>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</si>
  <si>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</si>
  <si>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</si>
  <si>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</si>
  <si>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</si>
  <si>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</si>
  <si>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</si>
  <si>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</si>
  <si>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</si>
  <si>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</si>
  <si>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</si>
  <si>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</si>
  <si>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</si>
  <si>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</si>
  <si>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</si>
  <si>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</si>
  <si>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</si>
  <si>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</si>
  <si>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</si>
  <si>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</si>
  <si>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</si>
  <si>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</si>
  <si>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</si>
  <si>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</si>
  <si>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</si>
  <si>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</si>
  <si>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</si>
  <si>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</si>
  <si>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</si>
  <si>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</si>
  <si>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</si>
  <si>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</si>
  <si>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</si>
  <si>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</si>
  <si>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</si>
  <si>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</si>
  <si>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</si>
  <si>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</si>
  <si>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</si>
  <si>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</si>
  <si>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</si>
  <si>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</si>
  <si>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</si>
  <si>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</si>
  <si>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</si>
  <si>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</si>
  <si>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</si>
  <si>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</si>
  <si>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</si>
  <si>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</si>
  <si>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</si>
  <si>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</si>
  <si>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</si>
  <si>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</si>
  <si>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</si>
  <si>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</si>
  <si>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</si>
  <si>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</si>
  <si>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</si>
  <si>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</si>
  <si>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</si>
  <si>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</si>
  <si>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</si>
  <si>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</si>
  <si>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</si>
  <si>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</si>
  <si>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</si>
  <si>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</si>
  <si>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</si>
  <si>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</si>
  <si>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</si>
  <si>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</si>
  <si>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</si>
  <si>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</si>
  <si>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</si>
  <si>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</si>
  <si>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</si>
  <si>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</si>
  <si>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</si>
  <si>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</si>
  <si>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</si>
  <si>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</si>
  <si>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</si>
  <si>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</si>
  <si>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</si>
  <si>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</si>
  <si>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</si>
  <si>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</si>
  <si>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</si>
  <si>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</si>
  <si>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</si>
  <si>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</si>
  <si>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</si>
  <si>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</si>
  <si>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</si>
  <si>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</si>
  <si>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</si>
  <si>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</si>
  <si>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</si>
  <si>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</si>
  <si>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</si>
  <si>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</si>
  <si>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</si>
  <si>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</si>
  <si>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</si>
  <si>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</si>
  <si>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</si>
  <si>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</si>
  <si>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</si>
  <si>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</si>
  <si>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</si>
  <si>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</si>
  <si>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</si>
  <si>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</si>
  <si>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</si>
  <si>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</si>
  <si>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</si>
  <si>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</si>
  <si>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</si>
  <si>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</si>
  <si>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</si>
  <si>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</si>
  <si>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</si>
  <si>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</si>
  <si>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</si>
  <si>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</si>
  <si>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</si>
  <si>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</si>
  <si>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</si>
  <si>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</si>
  <si>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</si>
  <si>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</si>
  <si>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</si>
  <si>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</si>
  <si>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</si>
  <si>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</si>
  <si>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</si>
  <si>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</si>
  <si>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</si>
  <si>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</si>
  <si>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</si>
  <si>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</si>
  <si>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</si>
  <si>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</si>
  <si>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</si>
  <si>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</si>
  <si>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</si>
  <si>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</si>
  <si>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</si>
  <si>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</si>
  <si>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</si>
  <si>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</si>
  <si>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</si>
  <si>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</si>
  <si>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</si>
  <si>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</si>
  <si>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</si>
  <si>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</si>
  <si>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</si>
  <si>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</si>
  <si>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</si>
  <si>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</si>
  <si>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</si>
  <si>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</si>
  <si>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</si>
  <si>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</si>
  <si>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</si>
  <si>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</si>
  <si>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</si>
  <si>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</si>
  <si>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</si>
  <si>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</si>
  <si>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</si>
  <si>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</si>
  <si>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</si>
  <si>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</si>
  <si>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</si>
  <si>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</si>
  <si>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</si>
  <si>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</si>
  <si>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</si>
  <si>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</si>
  <si>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</si>
  <si>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</si>
  <si>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</si>
  <si>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</si>
  <si>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</si>
  <si>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</si>
  <si>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</si>
  <si>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</si>
  <si>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</si>
  <si>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</si>
  <si>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</si>
  <si>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</si>
  <si>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</si>
  <si>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</si>
  <si>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</si>
  <si>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</si>
  <si>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</si>
  <si>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</si>
  <si>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</si>
  <si>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</si>
  <si>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</si>
  <si>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</si>
  <si>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</si>
  <si>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</si>
  <si>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</si>
  <si>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</si>
  <si>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</si>
  <si>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</si>
  <si>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</si>
  <si>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</si>
  <si>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</si>
  <si>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</si>
  <si>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</si>
  <si>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</si>
  <si>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</si>
  <si>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</si>
  <si>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</si>
  <si>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</si>
  <si>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</si>
  <si>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</si>
  <si>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</si>
  <si>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</si>
  <si>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</si>
  <si>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</si>
  <si>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</si>
  <si>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</si>
  <si>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</si>
  <si>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</si>
  <si>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</si>
  <si>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</si>
  <si>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</si>
  <si>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</si>
  <si>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</si>
  <si>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</si>
  <si>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</si>
  <si>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</si>
  <si>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</si>
  <si>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</si>
  <si>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</si>
  <si>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</si>
  <si>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</si>
  <si>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</si>
  <si>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</si>
  <si>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</si>
  <si>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</si>
  <si>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</si>
  <si>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</si>
  <si>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</si>
  <si>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</si>
  <si>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</si>
  <si>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</si>
  <si>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</si>
  <si>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</si>
  <si>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</si>
  <si>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</si>
  <si>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</si>
  <si>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</si>
  <si>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</si>
  <si>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</si>
  <si>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</si>
  <si>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</si>
  <si>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</si>
  <si>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</si>
  <si>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</si>
  <si>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</si>
  <si>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</si>
  <si>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</si>
  <si>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</si>
  <si>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</si>
  <si>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</si>
  <si>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</si>
  <si>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</si>
  <si>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</si>
  <si>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</si>
  <si>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</si>
  <si>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</si>
  <si>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</si>
  <si>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</si>
  <si>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</si>
  <si>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</si>
  <si>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</si>
  <si>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</si>
  <si>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</si>
  <si>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</si>
  <si>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</si>
  <si>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</si>
  <si>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</si>
  <si>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</si>
  <si>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</si>
  <si>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</si>
  <si>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</si>
  <si>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</si>
  <si>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</si>
  <si>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</si>
  <si>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</si>
  <si>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</si>
  <si>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</si>
  <si>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</si>
  <si>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</si>
  <si>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</si>
  <si>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</si>
  <si>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</si>
  <si>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</si>
  <si>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</si>
  <si>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</si>
  <si>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</si>
  <si>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</si>
  <si>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</si>
  <si>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</si>
  <si>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</si>
  <si>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</si>
  <si>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</si>
  <si>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</si>
  <si>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</si>
  <si>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</si>
  <si>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</si>
  <si>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</si>
  <si>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</si>
  <si>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</si>
  <si>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</si>
  <si>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</si>
  <si>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</si>
  <si>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25, 27, 29(2), 31, 33, 36, 39, 44, 48, 60</t>
  </si>
  <si>
    <t>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</si>
  <si>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</si>
  <si>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</si>
  <si>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</si>
  <si>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</si>
  <si>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</si>
  <si>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</si>
  <si>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</si>
  <si>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</si>
  <si>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</si>
  <si>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</si>
  <si>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</si>
  <si>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</si>
  <si>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</si>
  <si>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</si>
  <si>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</si>
  <si>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</si>
  <si>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</si>
  <si>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</si>
  <si>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</si>
  <si>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</si>
  <si>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</si>
  <si>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</si>
  <si>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</si>
  <si>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</si>
  <si>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</si>
  <si>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</si>
  <si>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</si>
  <si>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</si>
  <si>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</si>
  <si>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</si>
  <si>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</si>
  <si>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</si>
  <si>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</si>
  <si>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</si>
  <si>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</si>
  <si>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</si>
  <si>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</si>
  <si>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</si>
  <si>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</si>
  <si>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</si>
  <si>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</si>
  <si>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</si>
  <si>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</si>
  <si>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</si>
  <si>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</si>
  <si>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</si>
  <si>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</si>
  <si>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</si>
  <si>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</si>
  <si>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</si>
  <si>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</si>
  <si>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</si>
  <si>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</si>
  <si>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</si>
  <si>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</si>
  <si>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</si>
  <si>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</si>
  <si>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</si>
  <si>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</si>
  <si>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</si>
  <si>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</si>
  <si>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</si>
  <si>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</si>
  <si>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</si>
  <si>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</si>
  <si>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</si>
  <si>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</si>
  <si>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</si>
  <si>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</si>
  <si>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</si>
  <si>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</si>
  <si>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</si>
  <si>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</si>
  <si>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</si>
  <si>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</si>
  <si>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</si>
  <si>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</si>
  <si>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</si>
  <si>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</si>
  <si>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</si>
  <si>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</si>
  <si>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</si>
  <si>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</si>
  <si>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</si>
  <si>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</si>
  <si>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</si>
  <si>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</si>
  <si>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51, 70</t>
  </si>
  <si>
    <t>31, 51, 70</t>
  </si>
  <si>
    <t>14 р перенесла на долг айхерб 320</t>
  </si>
  <si>
    <t>Betavik</t>
  </si>
  <si>
    <t>Ольга_96</t>
  </si>
  <si>
    <t>50, 51, 53, 71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</si>
  <si>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</si>
  <si>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</si>
  <si>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</si>
  <si>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</si>
  <si>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</si>
  <si>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</si>
  <si>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</si>
  <si>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</si>
  <si>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</si>
  <si>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</si>
  <si>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</si>
  <si>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</si>
  <si>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</si>
  <si>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</si>
  <si>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</si>
  <si>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</si>
  <si>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</si>
  <si>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</si>
  <si>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</si>
  <si>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</si>
  <si>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</si>
  <si>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</si>
  <si>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</si>
  <si>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</si>
  <si>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</si>
  <si>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</si>
  <si>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</si>
  <si>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</si>
  <si>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</si>
  <si>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</si>
  <si>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</si>
  <si>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</si>
  <si>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</si>
  <si>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</si>
  <si>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</si>
  <si>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</si>
  <si>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</si>
  <si>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</si>
  <si>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</si>
  <si>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</si>
  <si>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</si>
  <si>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</si>
  <si>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</si>
  <si>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</si>
  <si>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</si>
  <si>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</si>
  <si>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</si>
  <si>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</si>
  <si>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</si>
  <si>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</si>
  <si>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</si>
  <si>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</si>
  <si>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52, 78</t>
  </si>
  <si>
    <t>Vesyana</t>
  </si>
  <si>
    <t>Выкуп 10.10.15</t>
  </si>
  <si>
    <t>Оксана29.08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</si>
  <si>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</si>
  <si>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</si>
  <si>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</si>
  <si>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</si>
  <si>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</si>
  <si>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</si>
  <si>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</si>
  <si>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</si>
  <si>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78, 80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</si>
  <si>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</si>
  <si>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</si>
  <si>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</si>
  <si>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</si>
  <si>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</si>
  <si>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</si>
  <si>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</si>
  <si>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15, 31, 51, 60, 68, 81</t>
  </si>
  <si>
    <t>RomanenkoA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</si>
  <si>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</si>
  <si>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</si>
  <si>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</si>
  <si>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</si>
  <si>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</si>
  <si>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</si>
  <si>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</si>
  <si>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</si>
  <si>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</si>
  <si>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</si>
  <si>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</si>
  <si>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Таталу</t>
  </si>
  <si>
    <t>Выкуп 16.11.15</t>
  </si>
  <si>
    <t>dorfy</t>
  </si>
  <si>
    <t>титовна</t>
  </si>
  <si>
    <t>40, 43, 46, 70, 76, 83</t>
  </si>
  <si>
    <t>Выкуп 24.11.15</t>
  </si>
  <si>
    <t>Вероничка13</t>
  </si>
  <si>
    <t>badima</t>
  </si>
  <si>
    <t>Daamochka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</si>
  <si>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</si>
  <si>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</si>
  <si>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</si>
  <si>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</si>
  <si>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</si>
  <si>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</si>
  <si>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</si>
  <si>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</si>
  <si>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</si>
  <si>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</si>
  <si>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</si>
  <si>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</si>
  <si>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</si>
  <si>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</si>
  <si>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</si>
  <si>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Выкуп 24.12.15</t>
  </si>
  <si>
    <t>Анастасиюшка</t>
  </si>
  <si>
    <t xml:space="preserve">Медведица </t>
  </si>
  <si>
    <t>EVE_8</t>
  </si>
  <si>
    <t>54, 77, 82, 87</t>
  </si>
  <si>
    <t>64, 67, 79, 87</t>
  </si>
  <si>
    <t>57, 60, 87</t>
  </si>
  <si>
    <t>Выкуп 10.01.2016</t>
  </si>
  <si>
    <t>SMUZZI</t>
  </si>
  <si>
    <t>madma</t>
  </si>
  <si>
    <t>анюта520</t>
  </si>
  <si>
    <t>SvetlanaL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</si>
  <si>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</si>
  <si>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</si>
  <si>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</si>
  <si>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</si>
  <si>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</si>
  <si>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</si>
  <si>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</si>
  <si>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</si>
  <si>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</si>
  <si>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</si>
  <si>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</si>
  <si>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57, 89</t>
  </si>
  <si>
    <t>64, 89</t>
  </si>
  <si>
    <t>Выкуп 26.01.2016</t>
  </si>
  <si>
    <t xml:space="preserve">Romanechka  </t>
  </si>
  <si>
    <t>dangy</t>
  </si>
  <si>
    <t>НЕ ФАКТ</t>
  </si>
  <si>
    <t>Таня-Таня</t>
  </si>
  <si>
    <t>41, 60, 61, 79, 80, 86, 90</t>
  </si>
  <si>
    <t>Выкуп 31.01.2016</t>
  </si>
  <si>
    <t xml:space="preserve">Jokondich29 </t>
  </si>
  <si>
    <t>81, 91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</si>
  <si>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</si>
  <si>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</si>
  <si>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</si>
  <si>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</si>
  <si>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</si>
  <si>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</si>
  <si>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</si>
  <si>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</si>
  <si>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</si>
  <si>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</si>
  <si>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84, 86,92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</si>
  <si>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</si>
  <si>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</si>
  <si>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</si>
  <si>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</si>
  <si>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</si>
  <si>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</si>
  <si>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</si>
  <si>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</si>
  <si>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</si>
  <si>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52, 93</t>
  </si>
  <si>
    <t>51 р добавила с депозита джим 31</t>
  </si>
  <si>
    <t>Выкуп 27.03.2016</t>
  </si>
  <si>
    <t>Нехочуха</t>
  </si>
  <si>
    <t>МариЖа</t>
  </si>
  <si>
    <t>29(2), 32, 35, 69, 94</t>
  </si>
  <si>
    <t>нехочуха</t>
  </si>
  <si>
    <t>67, 79, 94</t>
  </si>
  <si>
    <t>Выкуп 10.04.2016</t>
  </si>
  <si>
    <t>Зозуля</t>
  </si>
  <si>
    <t>Windhauch</t>
  </si>
  <si>
    <t>Felisa</t>
  </si>
  <si>
    <t>62, 78, 95</t>
  </si>
  <si>
    <t>Выкуп 20.04.2016</t>
  </si>
  <si>
    <t>Doktor</t>
  </si>
  <si>
    <t>EVIK</t>
  </si>
  <si>
    <t>Выкуп 29.04.2016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</si>
  <si>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</si>
  <si>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</si>
  <si>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</si>
  <si>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</si>
  <si>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</si>
  <si>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</si>
  <si>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</si>
  <si>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33, 97</t>
  </si>
  <si>
    <t>12 р перенесла на сверку по purepara10</t>
  </si>
  <si>
    <t>14 р перенесла на сверку по purepara10</t>
  </si>
  <si>
    <t>Выкуп 10.05.2016</t>
  </si>
  <si>
    <t xml:space="preserve">iwonna... </t>
  </si>
  <si>
    <t>Svetik_nv</t>
  </si>
  <si>
    <t>ЛёнаНСК</t>
  </si>
  <si>
    <t>Len4ik80</t>
  </si>
  <si>
    <t>36, 51, 98</t>
  </si>
  <si>
    <t>Выкуп 18.05.2016</t>
  </si>
  <si>
    <t>Vikus'ka</t>
  </si>
  <si>
    <t>РыжикО</t>
  </si>
  <si>
    <t>III</t>
  </si>
  <si>
    <t>katenka84</t>
  </si>
  <si>
    <t>http://www.cocooncenter.com/mustela-stelatopia-creme-emolliente-400-ml/450.html</t>
  </si>
  <si>
    <t>56, 80, 99</t>
  </si>
  <si>
    <t>Выкуп 25.05.2016</t>
  </si>
  <si>
    <t>Выкуп 02.06.2016</t>
  </si>
  <si>
    <t>marusya7</t>
  </si>
  <si>
    <t>deitu</t>
  </si>
  <si>
    <t>Алла2013</t>
  </si>
  <si>
    <t>Yulia I</t>
  </si>
  <si>
    <t>27, 64, 71, 101</t>
  </si>
  <si>
    <t>61, 63, 80, 101</t>
  </si>
  <si>
    <t>Выкуп 15.06.2016</t>
  </si>
  <si>
    <t>Курс будет уточнен после списания банком</t>
  </si>
  <si>
    <t>Evgeniyaiz</t>
  </si>
  <si>
    <t>Baby Boo</t>
  </si>
  <si>
    <t>Loakos</t>
  </si>
  <si>
    <t>Выкуп 29.06.2016</t>
  </si>
  <si>
    <t>Dom</t>
  </si>
  <si>
    <t>41, 103</t>
  </si>
  <si>
    <t>Выкуп 12.07.2016</t>
  </si>
  <si>
    <t xml:space="preserve">Велька  </t>
  </si>
  <si>
    <t xml:space="preserve">Baby Boo </t>
  </si>
  <si>
    <t>Da_rya</t>
  </si>
  <si>
    <t>*Galina222*</t>
  </si>
  <si>
    <t>102, 104</t>
  </si>
  <si>
    <t>93, 104</t>
  </si>
  <si>
    <t>9, 11, 13, 16(1), 17, 19, 20, 26, 29(2), 32, 35, 38, 41, 45, 59, 60, 68, 82, 101, 102, 103, 104</t>
  </si>
  <si>
    <t>334р вернула 21.07.16</t>
  </si>
  <si>
    <t>Выкуп 24.07.2016</t>
  </si>
  <si>
    <t>IrishSummer</t>
  </si>
  <si>
    <t>Alietta</t>
  </si>
  <si>
    <t>sweet.tango</t>
  </si>
  <si>
    <t>darya_zmey</t>
  </si>
  <si>
    <t>Выкуп 03.08.2016</t>
  </si>
  <si>
    <t>Alionka*</t>
  </si>
  <si>
    <t xml:space="preserve">Вероничка13 </t>
  </si>
  <si>
    <t>Всездорово</t>
  </si>
  <si>
    <t>Ann79</t>
  </si>
  <si>
    <t>ДзюМа</t>
  </si>
  <si>
    <t xml:space="preserve">Le fleurs de Lis </t>
  </si>
  <si>
    <t>59, 60, 79, 81, 106</t>
  </si>
  <si>
    <t>83, 106</t>
  </si>
  <si>
    <t>Выкуп 14.08.2016</t>
  </si>
  <si>
    <t>F.Felix</t>
  </si>
  <si>
    <t>Кардиолог</t>
  </si>
  <si>
    <t>irinna855</t>
  </si>
  <si>
    <t>44, 69, 107</t>
  </si>
  <si>
    <t>99, 107</t>
  </si>
  <si>
    <t>50, 107</t>
  </si>
  <si>
    <t>убрала 54р в счет наличия 23.08.2016</t>
  </si>
  <si>
    <t>убрала 26р в счет наличия 21.08.2016</t>
  </si>
  <si>
    <t>Выкуп 24.08.2016</t>
  </si>
  <si>
    <t>Юльчёна</t>
  </si>
  <si>
    <t>Мама Руси</t>
  </si>
  <si>
    <t>http://www.cocooncenter.co.uk/mustela-foam-shampoo-for-newborns-150ml/2197.html</t>
  </si>
  <si>
    <t>Выкуп 30.08.2016</t>
  </si>
  <si>
    <t>T_ais</t>
  </si>
  <si>
    <t>59, 78, 81, 82, 86, 109</t>
  </si>
  <si>
    <t>Выкуп 07.09.2016</t>
  </si>
  <si>
    <t>tnm1980</t>
  </si>
  <si>
    <t>Lenok Sergeevna</t>
  </si>
  <si>
    <t>Выкуп 15.09.2016</t>
  </si>
  <si>
    <t>Twins</t>
  </si>
  <si>
    <t>Нюсик_</t>
  </si>
  <si>
    <t>18, 19, 103, 105, 111</t>
  </si>
  <si>
    <t>83, 96, 111</t>
  </si>
  <si>
    <t>Выкуп 22.09.2016</t>
  </si>
  <si>
    <t>Madam_Muzel</t>
  </si>
  <si>
    <t>Ксения-80</t>
  </si>
  <si>
    <t>63, 112</t>
  </si>
  <si>
    <t>33, 38, 59, 60, 112</t>
  </si>
  <si>
    <t>Выкуп 29.09.2016</t>
  </si>
  <si>
    <t>Малина Ягода</t>
  </si>
  <si>
    <t>Касьяша</t>
  </si>
  <si>
    <t>Вечная Весна</t>
  </si>
  <si>
    <t>Zefirka55</t>
  </si>
  <si>
    <t>Daenerys</t>
  </si>
  <si>
    <t>62, 66, 88, 113</t>
  </si>
  <si>
    <t>8 р в счет опоаты пробника из наличия</t>
  </si>
  <si>
    <t>Выкуп 12.10.2016</t>
  </si>
  <si>
    <t>Оливка@</t>
  </si>
  <si>
    <t>*Неженка*</t>
  </si>
  <si>
    <t xml:space="preserve">АВЕДИНА </t>
  </si>
  <si>
    <t>ANOR</t>
  </si>
  <si>
    <t>VERA-S</t>
  </si>
  <si>
    <t>1, 2, 4, 10, 12, 14, 16(1), 21, 24, 25, 28, 30, 97, 98, 103, 114</t>
  </si>
  <si>
    <t>36, 40, 54, 57, 84, 90, 114</t>
  </si>
  <si>
    <t>20, 33, 42, 44, 45, 114</t>
  </si>
  <si>
    <t>81, 95, 114</t>
  </si>
  <si>
    <t>Выкуп 20.10.2016</t>
  </si>
  <si>
    <t>_des_</t>
  </si>
  <si>
    <t xml:space="preserve">Таня-Таня </t>
  </si>
  <si>
    <t>FISTASHKA*****</t>
  </si>
  <si>
    <t xml:space="preserve">Daenerys  </t>
  </si>
  <si>
    <t>laima</t>
  </si>
  <si>
    <t>53, 56, 63, 99, 115</t>
  </si>
  <si>
    <t>Выкуп 27.10.2016</t>
  </si>
  <si>
    <t>Cat777</t>
  </si>
  <si>
    <t>Tanusik_</t>
  </si>
  <si>
    <t>shpunt</t>
  </si>
  <si>
    <t>45, 116</t>
  </si>
  <si>
    <t>97, 105, 110, 113, 116</t>
  </si>
  <si>
    <t>66, 116</t>
  </si>
  <si>
    <t>33, 90, 91, 115, 116</t>
  </si>
  <si>
    <t>Выкуп 06.11.2016</t>
  </si>
  <si>
    <t>oksiglam</t>
  </si>
  <si>
    <t>http://www.cocooncenter.co.uk/la-roche-posay-toleriane-soothing-protective-skincare-40ml/317.html#avis цена 10,75</t>
  </si>
  <si>
    <t>https://www.cocooncenter.com/humer-hygiene-du-nez-adulte-lot-de-2-x-150-ml/24859.html</t>
  </si>
  <si>
    <t>oven92</t>
  </si>
  <si>
    <t>Solushka</t>
  </si>
  <si>
    <t>http://www.cocooncenter.com/avene-lotion-nettoyante-peaux-intolerantes-300-ml/14738.html</t>
  </si>
  <si>
    <t>1702 р депозит снят, досылают крема</t>
  </si>
  <si>
    <t>Риган</t>
  </si>
  <si>
    <t>Dyfly</t>
  </si>
  <si>
    <t>NewMama</t>
  </si>
  <si>
    <t>Евгендранбунда</t>
  </si>
  <si>
    <t>60, 78, 117</t>
  </si>
  <si>
    <t>116, 117</t>
  </si>
  <si>
    <t>77, 92, 97, 102, 110, 117</t>
  </si>
  <si>
    <t>Выкуп 13.11.2016</t>
  </si>
  <si>
    <t>Клубок</t>
  </si>
  <si>
    <t>Oili</t>
  </si>
  <si>
    <t>111, 113, 118</t>
  </si>
  <si>
    <t>19, 26, 29(2), 36, 118</t>
  </si>
  <si>
    <t>98, 118</t>
  </si>
  <si>
    <t>Выкуп 28.11.2016</t>
  </si>
  <si>
    <t>Оплата до 03/12, об оплате пишите в форму оплат из 1 поста</t>
  </si>
  <si>
    <t>Хрюшелика</t>
  </si>
  <si>
    <t xml:space="preserve">Rosочка  </t>
  </si>
  <si>
    <t>Hoksa</t>
  </si>
  <si>
    <t>AnnaVlasova</t>
  </si>
  <si>
    <t>Afrodita5</t>
  </si>
  <si>
    <t>Helen20042005</t>
  </si>
  <si>
    <t>margo2759</t>
  </si>
  <si>
    <t>tyurinaalex87</t>
  </si>
  <si>
    <t>маринок999</t>
  </si>
  <si>
    <t>577р перенесла с депозита фармашоп 35</t>
  </si>
  <si>
    <t>117, 119</t>
  </si>
  <si>
    <t>29(2), 33, 34, 44, 119</t>
  </si>
  <si>
    <t>58, 75, 98, 110, 119</t>
  </si>
  <si>
    <t>80, 82, 96, 120</t>
  </si>
  <si>
    <t>85,118, 120</t>
  </si>
  <si>
    <t>80, 81, 103,120</t>
  </si>
  <si>
    <t>Выкуп 06.12.2016</t>
  </si>
  <si>
    <t>АннаАкулова</t>
  </si>
  <si>
    <t>119, 121</t>
  </si>
  <si>
    <t>97, 103, 109, 116, 118, 121</t>
  </si>
  <si>
    <t>73, 121</t>
  </si>
  <si>
    <t>Выкуп 14.12.2016</t>
  </si>
  <si>
    <t>neMaska</t>
  </si>
  <si>
    <t>Kaspiy-Ulissa</t>
  </si>
  <si>
    <t>Настя Нерусских</t>
  </si>
  <si>
    <t>amica90</t>
  </si>
  <si>
    <t>Lolly</t>
  </si>
  <si>
    <t>3, 12, 17, 122</t>
  </si>
  <si>
    <t>113, 122</t>
  </si>
  <si>
    <t>27р убрала в счет наличия</t>
  </si>
  <si>
    <t>Выкуп 22.12.2016</t>
  </si>
  <si>
    <t>Оплата до 25/12, об оплате пишите в форму оплат из 1 поста</t>
  </si>
  <si>
    <t>tatianka-88</t>
  </si>
  <si>
    <t>Родина-мать</t>
  </si>
  <si>
    <t>Ракинька</t>
  </si>
  <si>
    <t>Felis</t>
  </si>
  <si>
    <t>78,98, 123</t>
  </si>
  <si>
    <t>78р вернула 21.12</t>
  </si>
  <si>
    <t>Выкуп 09.01.2017</t>
  </si>
  <si>
    <t>Оплата до 12/01, об оплате пишите в форму оплат из 1 поста</t>
  </si>
  <si>
    <t>Elena Z</t>
  </si>
  <si>
    <t>akme84</t>
  </si>
  <si>
    <t>Golden-S</t>
  </si>
  <si>
    <t>Анна555аватар</t>
  </si>
  <si>
    <t>122, 124</t>
  </si>
  <si>
    <t>88, 92, 124</t>
  </si>
  <si>
    <t>60, 124</t>
  </si>
  <si>
    <t>65, 66, 79, 86, 124</t>
  </si>
  <si>
    <t>92, 94, 124</t>
  </si>
  <si>
    <t>вернула 180р 11.01</t>
  </si>
  <si>
    <t>Оплата до 20/01, об оплате пишите в форму оплат из 1 поста</t>
  </si>
  <si>
    <t>Olchik.goa</t>
  </si>
  <si>
    <t>fedya</t>
  </si>
  <si>
    <t>Катрин…</t>
  </si>
  <si>
    <t>_Екатерина_</t>
  </si>
  <si>
    <t>limma.ok</t>
  </si>
  <si>
    <t>SLG</t>
  </si>
  <si>
    <t>92, 99, 115, 125</t>
  </si>
  <si>
    <t>113, 115, 125</t>
  </si>
  <si>
    <t>62, 72, 125</t>
  </si>
  <si>
    <t>75, 84, 125</t>
  </si>
  <si>
    <t>выкуп 25.01</t>
  </si>
  <si>
    <t xml:space="preserve">marty2002  </t>
  </si>
  <si>
    <t>Mechta*</t>
  </si>
  <si>
    <t>bamboohause</t>
  </si>
  <si>
    <t>Крошка Маргошка</t>
  </si>
  <si>
    <t>SoficoK</t>
  </si>
  <si>
    <t>50, 72, 96, 126</t>
  </si>
  <si>
    <t>выкуп 31.01</t>
  </si>
  <si>
    <t>Женни2009</t>
  </si>
  <si>
    <t>Мари(sh)ка</t>
  </si>
  <si>
    <t>62, 127</t>
  </si>
  <si>
    <t>117, 127</t>
  </si>
  <si>
    <t>97, 104, 127</t>
  </si>
  <si>
    <t>выкуп 08.02</t>
  </si>
  <si>
    <t xml:space="preserve">
Nata Morozova</t>
  </si>
  <si>
    <t>Йожи</t>
  </si>
  <si>
    <t>Nata Morozova</t>
  </si>
  <si>
    <t>2, 3, 12, 16(2), 20, 23, 25, 32, 35, 99, 106, 887</t>
  </si>
  <si>
    <t>4, 6, 8, 10, 11, 12, 13, 14, 15, 16(1), 17, 18, 20, 21, 22, 26, 29(1), 31, 32, 38, 39, 40, 55, 99, 128</t>
  </si>
  <si>
    <t>126, 128</t>
  </si>
  <si>
    <t>20 р переплата за наличие</t>
  </si>
  <si>
    <t>выкуп 21.02</t>
  </si>
  <si>
    <t>Катя123</t>
  </si>
  <si>
    <t>Semper felix</t>
  </si>
  <si>
    <t>Марина Большакова</t>
  </si>
  <si>
    <t xml:space="preserve">
Кардиолог</t>
  </si>
  <si>
    <t>57, 129</t>
  </si>
  <si>
    <t>58, 75, 129</t>
  </si>
  <si>
    <t>46, 50, 54, 56, 60, 63, 75, 76,78, 79, 82, 129</t>
  </si>
  <si>
    <t>1371руб это остаток оплаты за вычетом Belarosso</t>
  </si>
  <si>
    <t>выкуп 28.02</t>
  </si>
  <si>
    <t>Дама с соб@чкой</t>
  </si>
  <si>
    <t>риоха</t>
  </si>
  <si>
    <t>YVM</t>
  </si>
  <si>
    <t>21, 34, 66, 130</t>
  </si>
  <si>
    <t>68, 89, 97, 117, 128, 130</t>
  </si>
  <si>
    <t>123, 130</t>
  </si>
  <si>
    <t>29(1),40, 46, 80, 87, 88, 94, 130</t>
  </si>
  <si>
    <t>выкуп 13.03</t>
  </si>
  <si>
    <t>Солнечная</t>
  </si>
  <si>
    <t>Котя84</t>
  </si>
  <si>
    <t>lulia2909</t>
  </si>
  <si>
    <t>3, 5, 11, 22, 29(2), 37, 83, 131</t>
  </si>
  <si>
    <t>106, 131</t>
  </si>
  <si>
    <t>124, 125, 131</t>
  </si>
  <si>
    <t>выкуп 20.03</t>
  </si>
  <si>
    <t>lisa008</t>
  </si>
  <si>
    <t>105, 132</t>
  </si>
  <si>
    <t>9, 10,19, 26, 70, 96, 112, 132</t>
  </si>
  <si>
    <t>81, 102, 103, 132</t>
  </si>
  <si>
    <t>55, 59, 79, 82, 91, 95, 116, 117, 132</t>
  </si>
  <si>
    <t>54, 69, 71, 132</t>
  </si>
  <si>
    <t>61, 125, 128, 132</t>
  </si>
  <si>
    <t>52, 108, 113, 125,126, 132</t>
  </si>
  <si>
    <t>130, 132</t>
  </si>
  <si>
    <t>14, 17, 20, 21, 61, 62, 78, 106, 132</t>
  </si>
  <si>
    <t>выкуп 27.03</t>
  </si>
  <si>
    <t>evgenka86</t>
  </si>
  <si>
    <t>Anichka  </t>
  </si>
  <si>
    <t>15руб убрала в счет оплаты основы из наличия</t>
  </si>
  <si>
    <t>выкуп 05.04</t>
  </si>
  <si>
    <t>трио</t>
  </si>
  <si>
    <t>Nfyz</t>
  </si>
  <si>
    <t>Жуся</t>
  </si>
  <si>
    <t>Parvati</t>
  </si>
  <si>
    <t>елена 7</t>
  </si>
  <si>
    <t>kuzia_1</t>
  </si>
  <si>
    <t>117, 134</t>
  </si>
  <si>
    <t>131, 134</t>
  </si>
  <si>
    <t>69, 105, 125, 129, 134</t>
  </si>
  <si>
    <t>15, 134</t>
  </si>
  <si>
    <t>выкуп 12.04</t>
  </si>
  <si>
    <t>KotikaCC</t>
  </si>
  <si>
    <t>маманивана</t>
  </si>
  <si>
    <t>руф</t>
  </si>
  <si>
    <t>СветланаКВ</t>
  </si>
  <si>
    <t>FORTUNA</t>
  </si>
  <si>
    <t>61, 68, 70, 129, 131, 135</t>
  </si>
  <si>
    <t>55, 60, 135</t>
  </si>
  <si>
    <t>57, 73, 75, 76, 104, 113, 133, 135</t>
  </si>
  <si>
    <t>35, 36, 37, 38, 39, 44, 45, 49, 51, 58, 60, 61, 62, 64, 65, 66, 69, 72, 79, 80, 81, 85, 94, 109, 110, 119, 131, 132, 133, 135</t>
  </si>
  <si>
    <t>122, 123, 125, 135</t>
  </si>
  <si>
    <t>40, 44, 49, 66, 117, 118, 135</t>
  </si>
  <si>
    <t>выкуп 19.04</t>
  </si>
  <si>
    <t>Anyaaaaaa</t>
  </si>
  <si>
    <t>only</t>
  </si>
  <si>
    <t>14, 27, 29(2), 38, 89, 136</t>
  </si>
  <si>
    <t>14, 124, 136</t>
  </si>
  <si>
    <t>101, 106, 109, 112, 116, 132, 133, 136</t>
  </si>
  <si>
    <t>86, 87, 123, 126, 136</t>
  </si>
  <si>
    <t>52, 53, 54, 60, 69, 85, 89, 110, 121, 136</t>
  </si>
  <si>
    <t>77, 92, 136</t>
  </si>
  <si>
    <t>выкуп 26.04</t>
  </si>
  <si>
    <t>Оплата до 30/04, об оплате пишите в форму оплат из 1 поста</t>
  </si>
  <si>
    <t>таня04</t>
  </si>
  <si>
    <t>Lena_vs</t>
  </si>
  <si>
    <t>Юлия_Жданова</t>
  </si>
  <si>
    <t>Margaret_Adams</t>
  </si>
  <si>
    <t>Агата Иванова</t>
  </si>
  <si>
    <t>семицветик1</t>
  </si>
  <si>
    <t>111, 137</t>
  </si>
  <si>
    <t>133, 137</t>
  </si>
  <si>
    <t>выкуп 04.05</t>
  </si>
  <si>
    <t>CHADO4</t>
  </si>
  <si>
    <t>114, 119, 136, 138</t>
  </si>
  <si>
    <t>119, 138</t>
  </si>
  <si>
    <t>62, 138</t>
  </si>
  <si>
    <t>82, 90, 92, 108, 138</t>
  </si>
  <si>
    <t>11, 12, 25, 47, 138</t>
  </si>
  <si>
    <t>110, 120, 131, 138</t>
  </si>
  <si>
    <t>49, 77, 79, 80, 108, 138</t>
  </si>
  <si>
    <t>123, 138</t>
  </si>
  <si>
    <t>выкуп 14.05</t>
  </si>
  <si>
    <t>Зеленая</t>
  </si>
  <si>
    <t>Ксюха Н-ск</t>
  </si>
  <si>
    <t>feniek</t>
  </si>
  <si>
    <t>Айвори</t>
  </si>
  <si>
    <t>35, 70, 139</t>
  </si>
  <si>
    <t>106, 137, 139</t>
  </si>
  <si>
    <t>129, 136, 139</t>
  </si>
  <si>
    <t>71, 97, 104, 105, 129, 139</t>
  </si>
  <si>
    <t>выкуп 21.05</t>
  </si>
  <si>
    <t>12, 16(2), 18, 19, 28, 29(1), 34, 38, 39, 40, 41, 45, 52, 57, 78, 85, 102, 116, 124, 136, 140</t>
  </si>
  <si>
    <t>10, 31, 125, 126, 140</t>
  </si>
  <si>
    <t>139, 140</t>
  </si>
  <si>
    <t>62, 82, 101, 124, 140</t>
  </si>
  <si>
    <t>4, 9, 13, 17, 18, 22, 32, 42, 73, 122, 140</t>
  </si>
  <si>
    <t>выкуп 28.05</t>
  </si>
  <si>
    <t>Надежда1107</t>
  </si>
  <si>
    <t>Dezire</t>
  </si>
  <si>
    <t>87, 92, 104, 141</t>
  </si>
  <si>
    <t>23, 58, 141</t>
  </si>
  <si>
    <t>50, 141</t>
  </si>
  <si>
    <t>117, 141</t>
  </si>
  <si>
    <t>126, 141</t>
  </si>
  <si>
    <t>выкуп 05.06</t>
  </si>
  <si>
    <t>Тыквочк@</t>
  </si>
  <si>
    <t>135, 142</t>
  </si>
  <si>
    <t>134, 142</t>
  </si>
  <si>
    <t>выкуп 15.06</t>
  </si>
  <si>
    <t>Стюнюшка</t>
  </si>
  <si>
    <t>milka.</t>
  </si>
  <si>
    <t>32, 141, 143</t>
  </si>
  <si>
    <t>33, 35,40, 49, 75, 77, 88, 96, 104, 136, 143</t>
  </si>
  <si>
    <t>95, 115, 129, 131, 143</t>
  </si>
  <si>
    <t>40, 127, 143</t>
  </si>
  <si>
    <t>52, 69, 78, 79, 143</t>
  </si>
  <si>
    <t>NatMan</t>
  </si>
  <si>
    <t>с депозита 270р</t>
  </si>
  <si>
    <t>выкуп 27.06</t>
  </si>
  <si>
    <t>Elfik</t>
  </si>
  <si>
    <t>Basy</t>
  </si>
  <si>
    <t>Knoparty</t>
  </si>
  <si>
    <t>Evgeniya24</t>
  </si>
  <si>
    <t>107, 113, 115. 119, 129, 136, 144</t>
  </si>
  <si>
    <t>21, 22, 25, 63, 67, 77, 90, 102, 104,117, 122, 144</t>
  </si>
  <si>
    <t>16(1), 29(2), 144</t>
  </si>
  <si>
    <t>80, 93, 98, 106, 119, 131, 144</t>
  </si>
  <si>
    <t>90, 119, 144</t>
  </si>
  <si>
    <t>выкуп 12.07</t>
  </si>
  <si>
    <t>elena_mama</t>
  </si>
  <si>
    <t>Елена100000</t>
  </si>
  <si>
    <t>Tahira09</t>
  </si>
  <si>
    <t>Viktory1526</t>
  </si>
  <si>
    <t>nata_sha</t>
  </si>
  <si>
    <t>128, 145</t>
  </si>
  <si>
    <t>81, 92, 114, 145</t>
  </si>
  <si>
    <t>выкуп 27.07</t>
  </si>
  <si>
    <t>Анна Коваленко</t>
  </si>
  <si>
    <t>olesyansk</t>
  </si>
  <si>
    <t>Юльча_05</t>
  </si>
  <si>
    <t>3, 4, 5, 11, 12, 18, 19, 23, 24, 25, 26, 28, 31, 33, 34, 36, 55, 66, 67, 68, 86, 87, 100, 124, 125, 126, 129, 132, 133, 135, 139, 141, 143, 145, 146</t>
  </si>
  <si>
    <t>20, 27, 29(2), 31, 32, 34, 41, 43, 46, 48, 52, 54, 70, 72, 76, 82, 83, 102, 116, 117, 133, 134, 141, 144, 146</t>
  </si>
  <si>
    <t>125, 126, 143, 146</t>
  </si>
  <si>
    <t>60, 94, 97, 114, 119, 131, 146</t>
  </si>
  <si>
    <t>115, 130, 132, 146</t>
  </si>
  <si>
    <t>выкуп 09.08</t>
  </si>
  <si>
    <t>Ксения Золотая</t>
  </si>
  <si>
    <t>Лиана123</t>
  </si>
  <si>
    <t>MirovichY</t>
  </si>
  <si>
    <t>29(2), 30, 31, 47, 71, 82, 147</t>
  </si>
  <si>
    <t>104, 129, 147</t>
  </si>
  <si>
    <t>144, 147</t>
  </si>
  <si>
    <t>110, 147</t>
  </si>
  <si>
    <t>134, 136, 137, 138, 147</t>
  </si>
  <si>
    <t>146, 147</t>
  </si>
  <si>
    <t>YLIA80</t>
  </si>
  <si>
    <t>19, 21, 22, 29(1), 32, 40, 43, 54, 59, 65, 67, 69, 70, 75, 79, 84, 88, 92, 94, 95, 97, 103, 105, 106, 107, 108, 113,114, 117, 118, 123, 124, 125, 126, 136, 139, 144, 146, 147</t>
  </si>
  <si>
    <t>50, 52, 59, 63, 65, 147</t>
  </si>
  <si>
    <t>127, 147</t>
  </si>
  <si>
    <t xml:space="preserve">  20.08.2017</t>
  </si>
  <si>
    <t>выкуп 19.08</t>
  </si>
  <si>
    <t>Nasyasya</t>
  </si>
  <si>
    <t>Zvezdochka*</t>
  </si>
  <si>
    <t>YESka</t>
  </si>
  <si>
    <t>irishabatoeva</t>
  </si>
  <si>
    <t>137, 148</t>
  </si>
  <si>
    <t>63, 81, 104, 127, 148</t>
  </si>
  <si>
    <t>73, 75, 83, 87, 92, 104, 115, 123, 137, 144, 148</t>
  </si>
  <si>
    <t>16(2), 19, 25, 60, 64, 96, 113, 148</t>
  </si>
  <si>
    <t>29(2), 31, 65, 66, 79, 89, 95, 118,120, 135, 146, 148</t>
  </si>
  <si>
    <t>145, 148</t>
  </si>
  <si>
    <t>52, 54, 116, 148</t>
  </si>
  <si>
    <t>87, 148</t>
  </si>
  <si>
    <t>110р вернула на карту 21.08.18</t>
  </si>
  <si>
    <t xml:space="preserve">  31.08.2017</t>
  </si>
  <si>
    <t>выкуп 29.08</t>
  </si>
  <si>
    <t>чудовище</t>
  </si>
  <si>
    <t>ЕленаВеснина</t>
  </si>
  <si>
    <t>выкуп 06.09</t>
  </si>
  <si>
    <t>Афина22</t>
  </si>
  <si>
    <t>strekozuchka</t>
  </si>
  <si>
    <t>Natali_78</t>
  </si>
  <si>
    <t>еекатерина</t>
  </si>
  <si>
    <t>19, 25, 28, 30, 34, 35,41, 51, 53, 64, 82, 87, 88, 92, 98, 121, 149</t>
  </si>
  <si>
    <t>8, 16(1),19, 20, 21, 22, 23, 24, 28, 46, 96, 115, 119, 131, 135, 139, 141, 145, 150</t>
  </si>
  <si>
    <t>137, 139, 149</t>
  </si>
  <si>
    <t>136, 139, 140, 143, 150</t>
  </si>
  <si>
    <t>129, 149</t>
  </si>
  <si>
    <t>69, 105, 150</t>
  </si>
  <si>
    <t>41,42, 43, 45, 46, 47, 50, 51, 52, 53, 55, 56, 57, 58, 59, 60, 63, 65, 66, 67, 69, 71, 72, 75, 76, 79, 80, 82, 83, 84, 87, 89, 91, 93, 95, 100, 103, 104, 105, 106, 107, 109, 112, 113, 115, 121, 122, 124, 126, 128, 130, 131,134, 137, 139, 140, 144, 145, 148, 150</t>
  </si>
  <si>
    <t>134, 149</t>
  </si>
  <si>
    <t>66, 67, 72, 94, 96, 105, 106, 112, 115, 117,119, 130, 131, 135, 137, 139, 146, 147, 148, 150</t>
  </si>
  <si>
    <t>147, 149</t>
  </si>
  <si>
    <t>64, 84, 87, 90, 91, 99, 129, 150</t>
  </si>
  <si>
    <t>38, 44, 135, 142, 147, 150</t>
  </si>
  <si>
    <t>выкуп 14.09</t>
  </si>
  <si>
    <t>Оплата до 17/09 включительно, об оплате пишите в форму оплат из 1 поста</t>
  </si>
  <si>
    <t xml:space="preserve">Мама Руси </t>
  </si>
  <si>
    <t xml:space="preserve">
Малышенька</t>
  </si>
  <si>
    <t>GRETTEL</t>
  </si>
  <si>
    <t>108, 147, 151</t>
  </si>
  <si>
    <t>134, 143, 146, 151</t>
  </si>
  <si>
    <t>8, 19, 20, 40, 60, 127, 130, 150, 151</t>
  </si>
  <si>
    <t>118, 134, 151</t>
  </si>
  <si>
    <t>145, 151</t>
  </si>
  <si>
    <t>148, 149, 151</t>
  </si>
  <si>
    <t>143, 144, 151</t>
  </si>
  <si>
    <t>74, 96, 131, 151</t>
  </si>
  <si>
    <t>122, 151</t>
  </si>
  <si>
    <t>43, 127, 151</t>
  </si>
  <si>
    <t>Малышенька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</si>
</sst>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</numFmts>
  <fonts count="82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17"/>
      <name val="Calibri"/>
      <family val="2"/>
    </font>
    <font>
      <b/>
      <u val="single"/>
      <sz val="22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rgb="FF00B050"/>
      <name val="Calibri"/>
      <family val="2"/>
    </font>
    <font>
      <b/>
      <u val="single"/>
      <sz val="22"/>
      <color rgb="FFFF0000"/>
      <name val="Calibri"/>
      <family val="2"/>
    </font>
    <font>
      <b/>
      <sz val="11"/>
      <color rgb="FF00B050"/>
      <name val="Calibri"/>
      <family val="2"/>
    </font>
    <font>
      <b/>
      <sz val="11"/>
      <color rgb="FFFF00FF"/>
      <name val="Calibri"/>
      <family val="2"/>
    </font>
    <font>
      <b/>
      <sz val="11"/>
      <color rgb="FF00B0F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7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2" xfId="42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3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3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6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7" xfId="0" applyBorder="1" applyAlignment="1">
      <alignment/>
    </xf>
    <xf numFmtId="0" fontId="23" fillId="34" borderId="18" xfId="0" applyFont="1" applyFill="1" applyBorder="1" applyAlignment="1">
      <alignment/>
    </xf>
    <xf numFmtId="0" fontId="0" fillId="34" borderId="19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19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68" fillId="38" borderId="20" xfId="0" applyFont="1" applyFill="1" applyBorder="1" applyAlignment="1">
      <alignment/>
    </xf>
    <xf numFmtId="0" fontId="5" fillId="0" borderId="0" xfId="42" applyFont="1" applyAlignment="1">
      <alignment/>
    </xf>
    <xf numFmtId="0" fontId="69" fillId="0" borderId="0" xfId="42" applyFont="1" applyAlignment="1">
      <alignment/>
    </xf>
    <xf numFmtId="0" fontId="70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71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5" fillId="0" borderId="20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6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8" fillId="38" borderId="20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50" fillId="34" borderId="10" xfId="0" applyFont="1" applyFill="1" applyBorder="1" applyAlignment="1">
      <alignment horizontal="center"/>
    </xf>
    <xf numFmtId="0" fontId="72" fillId="39" borderId="20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0" xfId="0" applyFill="1" applyBorder="1" applyAlignment="1">
      <alignment horizontal="center"/>
    </xf>
    <xf numFmtId="0" fontId="71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41" borderId="10" xfId="0" applyFill="1" applyBorder="1" applyAlignment="1">
      <alignment horizontal="center"/>
    </xf>
    <xf numFmtId="0" fontId="73" fillId="39" borderId="20" xfId="0" applyFont="1" applyFill="1" applyBorder="1" applyAlignment="1">
      <alignment wrapText="1"/>
    </xf>
    <xf numFmtId="0" fontId="0" fillId="40" borderId="0" xfId="0" applyFill="1" applyAlignment="1">
      <alignment/>
    </xf>
    <xf numFmtId="0" fontId="71" fillId="40" borderId="0" xfId="0" applyFont="1" applyFill="1" applyAlignment="1">
      <alignment/>
    </xf>
    <xf numFmtId="0" fontId="5" fillId="40" borderId="20" xfId="42" applyFont="1" applyFill="1" applyBorder="1" applyAlignment="1">
      <alignment/>
    </xf>
    <xf numFmtId="0" fontId="72" fillId="39" borderId="20" xfId="0" applyFont="1" applyFill="1" applyBorder="1" applyAlignment="1">
      <alignment wrapText="1"/>
    </xf>
    <xf numFmtId="0" fontId="74" fillId="34" borderId="0" xfId="0" applyFont="1" applyFill="1" applyAlignment="1">
      <alignment wrapText="1"/>
    </xf>
    <xf numFmtId="0" fontId="75" fillId="0" borderId="0" xfId="0" applyFont="1" applyAlignment="1">
      <alignment/>
    </xf>
    <xf numFmtId="0" fontId="74" fillId="34" borderId="0" xfId="0" applyFont="1" applyFill="1" applyAlignment="1">
      <alignment/>
    </xf>
    <xf numFmtId="0" fontId="0" fillId="40" borderId="22" xfId="0" applyFill="1" applyBorder="1" applyAlignment="1">
      <alignment horizontal="center"/>
    </xf>
    <xf numFmtId="0" fontId="72" fillId="39" borderId="23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40" borderId="0" xfId="42" applyFont="1" applyFill="1" applyAlignment="1">
      <alignment/>
    </xf>
    <xf numFmtId="0" fontId="0" fillId="40" borderId="24" xfId="0" applyFill="1" applyBorder="1" applyAlignment="1">
      <alignment horizontal="center"/>
    </xf>
    <xf numFmtId="0" fontId="5" fillId="0" borderId="20" xfId="42" applyBorder="1" applyAlignment="1">
      <alignment/>
    </xf>
    <xf numFmtId="0" fontId="5" fillId="0" borderId="25" xfId="42" applyBorder="1" applyAlignment="1">
      <alignment/>
    </xf>
    <xf numFmtId="0" fontId="0" fillId="39" borderId="25" xfId="0" applyFill="1" applyBorder="1" applyAlignment="1">
      <alignment/>
    </xf>
    <xf numFmtId="0" fontId="5" fillId="0" borderId="0" xfId="42" applyAlignment="1">
      <alignment/>
    </xf>
    <xf numFmtId="0" fontId="0" fillId="0" borderId="22" xfId="0" applyFill="1" applyBorder="1" applyAlignment="1">
      <alignment horizontal="center"/>
    </xf>
    <xf numFmtId="0" fontId="0" fillId="40" borderId="26" xfId="0" applyFill="1" applyBorder="1" applyAlignment="1">
      <alignment horizontal="center"/>
    </xf>
    <xf numFmtId="0" fontId="2" fillId="40" borderId="20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3" xfId="0" applyNumberFormat="1" applyFill="1" applyBorder="1" applyAlignment="1">
      <alignment horizontal="center" wrapText="1"/>
    </xf>
    <xf numFmtId="0" fontId="0" fillId="34" borderId="20" xfId="0" applyFill="1" applyBorder="1" applyAlignment="1">
      <alignment horizontal="center"/>
    </xf>
    <xf numFmtId="0" fontId="8" fillId="34" borderId="27" xfId="0" applyFont="1" applyFill="1" applyBorder="1" applyAlignment="1">
      <alignment horizontal="center" vertical="center" wrapText="1"/>
    </xf>
    <xf numFmtId="2" fontId="0" fillId="34" borderId="19" xfId="0" applyNumberFormat="1" applyFill="1" applyBorder="1" applyAlignment="1">
      <alignment horizontal="center" wrapText="1"/>
    </xf>
    <xf numFmtId="0" fontId="0" fillId="40" borderId="20" xfId="0" applyFill="1" applyBorder="1" applyAlignment="1">
      <alignment horizontal="center" wrapText="1"/>
    </xf>
    <xf numFmtId="0" fontId="0" fillId="40" borderId="20" xfId="0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0" fillId="40" borderId="22" xfId="0" applyFill="1" applyBorder="1" applyAlignment="1">
      <alignment/>
    </xf>
    <xf numFmtId="0" fontId="76" fillId="34" borderId="0" xfId="0" applyFont="1" applyFill="1" applyAlignment="1">
      <alignment horizontal="left"/>
    </xf>
    <xf numFmtId="3" fontId="0" fillId="0" borderId="0" xfId="0" applyNumberFormat="1" applyAlignment="1">
      <alignment/>
    </xf>
    <xf numFmtId="1" fontId="9" fillId="33" borderId="14" xfId="0" applyNumberFormat="1" applyFont="1" applyFill="1" applyBorder="1" applyAlignment="1">
      <alignment horizontal="center"/>
    </xf>
    <xf numFmtId="0" fontId="0" fillId="40" borderId="22" xfId="0" applyFill="1" applyBorder="1" applyAlignment="1">
      <alignment horizontal="center" wrapText="1"/>
    </xf>
    <xf numFmtId="0" fontId="66" fillId="39" borderId="20" xfId="0" applyFont="1" applyFill="1" applyBorder="1" applyAlignment="1">
      <alignment horizontal="center"/>
    </xf>
    <xf numFmtId="0" fontId="77" fillId="0" borderId="0" xfId="0" applyFont="1" applyAlignment="1">
      <alignment/>
    </xf>
    <xf numFmtId="1" fontId="0" fillId="40" borderId="20" xfId="0" applyNumberFormat="1" applyFill="1" applyBorder="1" applyAlignment="1">
      <alignment horizontal="center"/>
    </xf>
    <xf numFmtId="1" fontId="0" fillId="40" borderId="22" xfId="0" applyNumberFormat="1" applyFill="1" applyBorder="1" applyAlignment="1">
      <alignment horizontal="center"/>
    </xf>
    <xf numFmtId="0" fontId="58" fillId="33" borderId="20" xfId="0" applyFont="1" applyFill="1" applyBorder="1" applyAlignment="1">
      <alignment horizontal="center" wrapText="1"/>
    </xf>
    <xf numFmtId="0" fontId="50" fillId="0" borderId="20" xfId="0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1" fontId="50" fillId="0" borderId="10" xfId="0" applyNumberFormat="1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50" fillId="0" borderId="27" xfId="0" applyFont="1" applyBorder="1" applyAlignment="1">
      <alignment horizontal="center" wrapText="1"/>
    </xf>
    <xf numFmtId="0" fontId="50" fillId="0" borderId="0" xfId="0" applyFont="1" applyAlignment="1">
      <alignment horizontal="center" wrapText="1"/>
    </xf>
    <xf numFmtId="3" fontId="50" fillId="0" borderId="20" xfId="0" applyNumberFormat="1" applyFont="1" applyBorder="1" applyAlignment="1">
      <alignment horizontal="center"/>
    </xf>
    <xf numFmtId="3" fontId="5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3" fontId="50" fillId="0" borderId="14" xfId="0" applyNumberFormat="1" applyFont="1" applyBorder="1" applyAlignment="1">
      <alignment horizontal="center"/>
    </xf>
    <xf numFmtId="3" fontId="50" fillId="0" borderId="15" xfId="0" applyNumberFormat="1" applyFont="1" applyBorder="1" applyAlignment="1">
      <alignment horizontal="center"/>
    </xf>
    <xf numFmtId="3" fontId="50" fillId="0" borderId="13" xfId="0" applyNumberFormat="1" applyFont="1" applyBorder="1" applyAlignment="1">
      <alignment horizontal="center"/>
    </xf>
    <xf numFmtId="3" fontId="50" fillId="0" borderId="28" xfId="0" applyNumberFormat="1" applyFont="1" applyBorder="1" applyAlignment="1">
      <alignment horizontal="center"/>
    </xf>
    <xf numFmtId="3" fontId="50" fillId="0" borderId="22" xfId="0" applyNumberFormat="1" applyFont="1" applyBorder="1" applyAlignment="1">
      <alignment horizontal="center"/>
    </xf>
    <xf numFmtId="0" fontId="50" fillId="0" borderId="0" xfId="0" applyFont="1" applyAlignment="1">
      <alignment horizontal="center"/>
    </xf>
    <xf numFmtId="3" fontId="50" fillId="0" borderId="29" xfId="0" applyNumberFormat="1" applyFont="1" applyBorder="1" applyAlignment="1">
      <alignment horizontal="center"/>
    </xf>
    <xf numFmtId="0" fontId="50" fillId="0" borderId="29" xfId="0" applyFont="1" applyBorder="1" applyAlignment="1">
      <alignment horizontal="center" wrapText="1"/>
    </xf>
    <xf numFmtId="0" fontId="70" fillId="34" borderId="11" xfId="42" applyNumberFormat="1" applyFont="1" applyFill="1" applyBorder="1" applyAlignment="1" applyProtection="1">
      <alignment horizontal="left"/>
      <protection/>
    </xf>
    <xf numFmtId="0" fontId="70" fillId="34" borderId="20" xfId="42" applyNumberFormat="1" applyFont="1" applyFill="1" applyBorder="1" applyAlignment="1" applyProtection="1">
      <alignment horizontal="left"/>
      <protection/>
    </xf>
    <xf numFmtId="178" fontId="0" fillId="34" borderId="19" xfId="0" applyNumberForma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/>
    </xf>
    <xf numFmtId="0" fontId="3" fillId="34" borderId="20" xfId="42" applyNumberFormat="1" applyFont="1" applyFill="1" applyBorder="1" applyAlignment="1" applyProtection="1">
      <alignment horizontal="left"/>
      <protection/>
    </xf>
    <xf numFmtId="0" fontId="3" fillId="34" borderId="10" xfId="42" applyNumberFormat="1" applyFont="1" applyFill="1" applyBorder="1" applyAlignment="1" applyProtection="1">
      <alignment/>
      <protection/>
    </xf>
    <xf numFmtId="0" fontId="3" fillId="34" borderId="10" xfId="42" applyNumberFormat="1" applyFont="1" applyFill="1" applyBorder="1" applyAlignment="1" applyProtection="1">
      <alignment horizontal="left"/>
      <protection/>
    </xf>
    <xf numFmtId="0" fontId="3" fillId="34" borderId="11" xfId="42" applyNumberFormat="1" applyFont="1" applyFill="1" applyBorder="1" applyAlignment="1" applyProtection="1">
      <alignment horizontal="left"/>
      <protection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4" xfId="42" applyNumberFormat="1" applyFont="1" applyFill="1" applyBorder="1" applyAlignment="1" applyProtection="1">
      <alignment/>
      <protection/>
    </xf>
    <xf numFmtId="0" fontId="3" fillId="34" borderId="16" xfId="42" applyNumberFormat="1" applyFont="1" applyFill="1" applyBorder="1" applyAlignment="1" applyProtection="1">
      <alignment/>
      <protection/>
    </xf>
    <xf numFmtId="0" fontId="3" fillId="34" borderId="16" xfId="42" applyNumberFormat="1" applyFont="1" applyFill="1" applyBorder="1" applyAlignment="1" applyProtection="1">
      <alignment horizontal="left"/>
      <protection/>
    </xf>
    <xf numFmtId="0" fontId="3" fillId="0" borderId="30" xfId="0" applyFont="1" applyBorder="1" applyAlignment="1">
      <alignment/>
    </xf>
    <xf numFmtId="0" fontId="3" fillId="34" borderId="30" xfId="42" applyNumberFormat="1" applyFont="1" applyFill="1" applyBorder="1" applyAlignment="1" applyProtection="1">
      <alignment horizontal="left"/>
      <protection/>
    </xf>
    <xf numFmtId="0" fontId="3" fillId="34" borderId="20" xfId="42" applyNumberFormat="1" applyFont="1" applyFill="1" applyBorder="1" applyAlignment="1" applyProtection="1">
      <alignment/>
      <protection/>
    </xf>
    <xf numFmtId="0" fontId="3" fillId="0" borderId="20" xfId="0" applyFont="1" applyBorder="1" applyAlignment="1">
      <alignment/>
    </xf>
    <xf numFmtId="0" fontId="3" fillId="34" borderId="30" xfId="42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8" fillId="34" borderId="11" xfId="42" applyNumberFormat="1" applyFont="1" applyFill="1" applyBorder="1" applyAlignment="1" applyProtection="1">
      <alignment horizontal="left"/>
      <protection/>
    </xf>
    <xf numFmtId="0" fontId="3" fillId="34" borderId="14" xfId="42" applyNumberFormat="1" applyFont="1" applyFill="1" applyBorder="1" applyAlignment="1" applyProtection="1">
      <alignment horizontal="left"/>
      <protection/>
    </xf>
    <xf numFmtId="0" fontId="79" fillId="34" borderId="11" xfId="42" applyNumberFormat="1" applyFont="1" applyFill="1" applyBorder="1" applyAlignment="1" applyProtection="1">
      <alignment horizontal="left"/>
      <protection/>
    </xf>
    <xf numFmtId="0" fontId="79" fillId="34" borderId="20" xfId="42" applyNumberFormat="1" applyFont="1" applyFill="1" applyBorder="1" applyAlignment="1" applyProtection="1">
      <alignment horizontal="left"/>
      <protection/>
    </xf>
    <xf numFmtId="0" fontId="28" fillId="34" borderId="11" xfId="42" applyNumberFormat="1" applyFont="1" applyFill="1" applyBorder="1" applyAlignment="1" applyProtection="1">
      <alignment horizontal="left"/>
      <protection/>
    </xf>
    <xf numFmtId="0" fontId="13" fillId="34" borderId="0" xfId="0" applyFont="1" applyFill="1" applyAlignment="1">
      <alignment wrapText="1"/>
    </xf>
    <xf numFmtId="0" fontId="80" fillId="34" borderId="20" xfId="42" applyNumberFormat="1" applyFont="1" applyFill="1" applyBorder="1" applyAlignment="1" applyProtection="1">
      <alignment horizontal="left"/>
      <protection/>
    </xf>
    <xf numFmtId="0" fontId="78" fillId="34" borderId="20" xfId="42" applyNumberFormat="1" applyFont="1" applyFill="1" applyBorder="1" applyAlignment="1" applyProtection="1">
      <alignment horizontal="left"/>
      <protection/>
    </xf>
    <xf numFmtId="0" fontId="3" fillId="34" borderId="0" xfId="42" applyNumberFormat="1" applyFont="1" applyFill="1" applyBorder="1" applyAlignment="1" applyProtection="1">
      <alignment horizontal="left"/>
      <protection/>
    </xf>
    <xf numFmtId="0" fontId="80" fillId="34" borderId="11" xfId="42" applyNumberFormat="1" applyFont="1" applyFill="1" applyBorder="1" applyAlignment="1" applyProtection="1">
      <alignment horizontal="left"/>
      <protection/>
    </xf>
    <xf numFmtId="0" fontId="80" fillId="34" borderId="10" xfId="42" applyNumberFormat="1" applyFont="1" applyFill="1" applyBorder="1" applyAlignment="1" applyProtection="1">
      <alignment horizontal="left"/>
      <protection/>
    </xf>
    <xf numFmtId="0" fontId="3" fillId="34" borderId="10" xfId="0" applyFont="1" applyFill="1" applyBorder="1" applyAlignment="1">
      <alignment/>
    </xf>
    <xf numFmtId="0" fontId="58" fillId="34" borderId="11" xfId="42" applyNumberFormat="1" applyFont="1" applyFill="1" applyBorder="1" applyAlignment="1" applyProtection="1">
      <alignment horizontal="left"/>
      <protection/>
    </xf>
    <xf numFmtId="0" fontId="58" fillId="34" borderId="11" xfId="42" applyNumberFormat="1" applyFont="1" applyFill="1" applyBorder="1" applyAlignment="1" applyProtection="1">
      <alignment/>
      <protection/>
    </xf>
    <xf numFmtId="0" fontId="58" fillId="34" borderId="20" xfId="42" applyNumberFormat="1" applyFont="1" applyFill="1" applyBorder="1" applyAlignment="1" applyProtection="1">
      <alignment horizontal="left"/>
      <protection/>
    </xf>
    <xf numFmtId="0" fontId="58" fillId="34" borderId="30" xfId="42" applyNumberFormat="1" applyFont="1" applyFill="1" applyBorder="1" applyAlignment="1" applyProtection="1">
      <alignment horizontal="left"/>
      <protection/>
    </xf>
    <xf numFmtId="0" fontId="58" fillId="34" borderId="20" xfId="42" applyNumberFormat="1" applyFont="1" applyFill="1" applyBorder="1" applyAlignment="1" applyProtection="1">
      <alignment/>
      <protection/>
    </xf>
    <xf numFmtId="0" fontId="58" fillId="34" borderId="10" xfId="42" applyNumberFormat="1" applyFont="1" applyFill="1" applyBorder="1" applyAlignment="1" applyProtection="1">
      <alignment horizontal="left"/>
      <protection/>
    </xf>
    <xf numFmtId="0" fontId="58" fillId="34" borderId="0" xfId="42" applyNumberFormat="1" applyFont="1" applyFill="1" applyBorder="1" applyAlignment="1" applyProtection="1">
      <alignment horizontal="left"/>
      <protection/>
    </xf>
    <xf numFmtId="0" fontId="58" fillId="0" borderId="20" xfId="0" applyFont="1" applyBorder="1" applyAlignment="1">
      <alignment/>
    </xf>
    <xf numFmtId="0" fontId="58" fillId="34" borderId="16" xfId="42" applyNumberFormat="1" applyFont="1" applyFill="1" applyBorder="1" applyAlignment="1" applyProtection="1">
      <alignment horizontal="left"/>
      <protection/>
    </xf>
    <xf numFmtId="0" fontId="3" fillId="34" borderId="16" xfId="0" applyFont="1" applyFill="1" applyBorder="1" applyAlignment="1">
      <alignment/>
    </xf>
    <xf numFmtId="0" fontId="28" fillId="34" borderId="10" xfId="42" applyNumberFormat="1" applyFont="1" applyFill="1" applyBorder="1" applyAlignment="1" applyProtection="1">
      <alignment/>
      <protection/>
    </xf>
    <xf numFmtId="0" fontId="58" fillId="34" borderId="15" xfId="42" applyNumberFormat="1" applyFont="1" applyFill="1" applyBorder="1" applyAlignment="1" applyProtection="1">
      <alignment horizontal="left"/>
      <protection/>
    </xf>
    <xf numFmtId="0" fontId="3" fillId="34" borderId="31" xfId="42" applyNumberFormat="1" applyFont="1" applyFill="1" applyBorder="1" applyAlignment="1" applyProtection="1">
      <alignment horizontal="left"/>
      <protection/>
    </xf>
    <xf numFmtId="0" fontId="3" fillId="0" borderId="32" xfId="0" applyFont="1" applyBorder="1" applyAlignment="1">
      <alignment/>
    </xf>
    <xf numFmtId="0" fontId="58" fillId="0" borderId="11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styles" Target="styles.xml" /><Relationship Id="rId155" Type="http://schemas.openxmlformats.org/officeDocument/2006/relationships/sharedStrings" Target="sharedStrings.xml" /><Relationship Id="rId15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hyperlink" Target="mailto:&#1054;&#1083;&#1080;&#1074;&#1082;&#1072;@" TargetMode="External" /><Relationship Id="rId4" Type="http://schemas.openxmlformats.org/officeDocument/2006/relationships/printerSettings" Target="../printerSettings/printerSettings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telatopia-creme-emolliente-400-ml/450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foam-shampoo-for-newborns-150ml/2197.html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toleriane-soothing-protective-skincare-40ml/317.html#avis" TargetMode="External" /><Relationship Id="rId2" Type="http://schemas.openxmlformats.org/officeDocument/2006/relationships/hyperlink" Target="https://www.cocooncenter.com/humer-hygiene-du-nez-adulte-lot-de-2-x-150-ml/248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avene-lotion-nettoyante-peaux-intolerantes-300-ml/14738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3"/>
  <sheetViews>
    <sheetView zoomScalePageLayoutView="0" workbookViewId="0" topLeftCell="A517">
      <selection activeCell="A533" sqref="A533"/>
    </sheetView>
  </sheetViews>
  <sheetFormatPr defaultColWidth="9.140625" defaultRowHeight="15"/>
  <cols>
    <col min="1" max="1" width="30.57421875" style="200" customWidth="1"/>
    <col min="2" max="2" width="17.8515625" style="178" customWidth="1"/>
    <col min="3" max="3" width="28.421875" style="169" customWidth="1"/>
  </cols>
  <sheetData>
    <row r="1" spans="1:4" ht="30">
      <c r="A1" s="184" t="s">
        <v>0</v>
      </c>
      <c r="B1" s="162" t="s">
        <v>1</v>
      </c>
      <c r="C1" s="162" t="s">
        <v>2</v>
      </c>
      <c r="D1" s="2" t="s">
        <v>3</v>
      </c>
    </row>
    <row r="2" spans="1:3" ht="15">
      <c r="A2" s="185">
        <v>51150</v>
      </c>
      <c r="B2" s="170">
        <f>'44'!G6+'69'!I7+'107'!I7</f>
        <v>9.102696036869133</v>
      </c>
      <c r="C2" s="163" t="s">
        <v>923</v>
      </c>
    </row>
    <row r="3" spans="1:3" ht="15">
      <c r="A3" s="186" t="s">
        <v>4</v>
      </c>
      <c r="B3" s="171">
        <f>'13'!I5</f>
        <v>-1.3089919999999893</v>
      </c>
      <c r="C3" s="164">
        <v>13</v>
      </c>
    </row>
    <row r="4" spans="1:3" ht="15">
      <c r="A4" s="186" t="s">
        <v>5</v>
      </c>
      <c r="B4" s="171">
        <f>'12'!I7+'16(2)'!I4+'26'!G7+'29(1)'!G13+'62'!I14</f>
        <v>-0.25754055376455653</v>
      </c>
      <c r="C4" s="164" t="s">
        <v>605</v>
      </c>
    </row>
    <row r="5" spans="1:3" ht="15">
      <c r="A5" s="186" t="s">
        <v>900</v>
      </c>
      <c r="B5" s="171">
        <f>'66'!I19</f>
        <v>-0.37688588785044885</v>
      </c>
      <c r="C5" s="164">
        <v>66</v>
      </c>
    </row>
    <row r="6" spans="1:3" ht="30">
      <c r="A6" s="187" t="s">
        <v>7</v>
      </c>
      <c r="B6" s="171">
        <f>4!I9+9!I9+'13'!I4+'17'!I15+'18'!I14+'22'!G6+'32'!G5+'42'!G11+'73'!I10+'122'!I10+'140'!I7</f>
        <v>-12.373356298511567</v>
      </c>
      <c r="C6" s="164" t="s">
        <v>1191</v>
      </c>
    </row>
    <row r="7" spans="1:3" ht="15">
      <c r="A7" s="121" t="s">
        <v>958</v>
      </c>
      <c r="B7" s="171">
        <f>'114'!I8</f>
        <v>0.2629691213167007</v>
      </c>
      <c r="C7" s="164">
        <v>114</v>
      </c>
    </row>
    <row r="8" spans="1:3" ht="15">
      <c r="A8" s="188" t="s">
        <v>967</v>
      </c>
      <c r="B8" s="171">
        <f>'115'!I4+'130'!I5+'132'!I15+'146'!I11</f>
        <v>0.15821342208505484</v>
      </c>
      <c r="C8" s="164" t="s">
        <v>1240</v>
      </c>
    </row>
    <row r="9" spans="1:3" ht="30">
      <c r="A9" s="121" t="s">
        <v>8</v>
      </c>
      <c r="B9" s="171">
        <f>'19'!I8+'25'!G12+'28'!G16+'30'!G7+'34'!G7+'35'!G4+'41'!G4+'51'!H14+'53'!H4+'64'!I9+'82'!I7+'87'!I11+'88'!I10+'92'!I14+'98'!I10+'121'!I7+'149'!I5</f>
        <v>-40.08430480802758</v>
      </c>
      <c r="C9" s="164" t="s">
        <v>1279</v>
      </c>
    </row>
    <row r="10" spans="1:3" ht="15">
      <c r="A10" s="189" t="s">
        <v>1058</v>
      </c>
      <c r="B10" s="171">
        <f>'125'!I13</f>
        <v>-19.557042032400886</v>
      </c>
      <c r="C10" s="164">
        <v>125</v>
      </c>
    </row>
    <row r="11" spans="1:3" ht="15">
      <c r="A11" s="188" t="s">
        <v>684</v>
      </c>
      <c r="B11" s="171">
        <f>'72'!I12+'81'!I12</f>
        <v>9.354004513545306</v>
      </c>
      <c r="C11" s="164" t="s">
        <v>751</v>
      </c>
    </row>
    <row r="12" spans="1:3" ht="15">
      <c r="A12" s="188" t="s">
        <v>692</v>
      </c>
      <c r="B12" s="171">
        <f>'73'!I4</f>
        <v>20.4538150793652</v>
      </c>
      <c r="C12" s="164">
        <v>73</v>
      </c>
    </row>
    <row r="13" spans="1:3" ht="15">
      <c r="A13" s="121" t="s">
        <v>9</v>
      </c>
      <c r="B13" s="171">
        <f>'17'!I11+'18'!I8+'21'!G12+'22'!G10</f>
        <v>4.369893859560989</v>
      </c>
      <c r="C13" s="164" t="s">
        <v>10</v>
      </c>
    </row>
    <row r="14" spans="1:3" ht="15">
      <c r="A14" s="188" t="s">
        <v>772</v>
      </c>
      <c r="B14" s="171">
        <f>'85'!I6</f>
        <v>-33.98408762811141</v>
      </c>
      <c r="C14" s="164">
        <v>85</v>
      </c>
    </row>
    <row r="15" spans="1:3" ht="15">
      <c r="A15" s="121" t="s">
        <v>568</v>
      </c>
      <c r="B15" s="171">
        <f>'59'!I8+'93'!I5</f>
        <v>0.07968912931892191</v>
      </c>
      <c r="C15" s="164" t="s">
        <v>839</v>
      </c>
    </row>
    <row r="16" spans="1:3" ht="15">
      <c r="A16" s="210" t="s">
        <v>426</v>
      </c>
      <c r="B16" s="171">
        <f>'43'!G10+'127'!I4+'151'!I14</f>
        <v>-737.6767406314608</v>
      </c>
      <c r="C16" s="164" t="s">
        <v>1305</v>
      </c>
    </row>
    <row r="17" spans="1:3" ht="15">
      <c r="A17" s="121" t="s">
        <v>11</v>
      </c>
      <c r="B17" s="171">
        <f>'27'!G4+'64'!I11+'71'!I6+'101'!I6</f>
        <v>-0.5394698473224935</v>
      </c>
      <c r="C17" s="164" t="s">
        <v>886</v>
      </c>
    </row>
    <row r="18" spans="1:3" ht="15">
      <c r="A18" s="189" t="s">
        <v>1008</v>
      </c>
      <c r="B18" s="171">
        <f>'119'!I11+'121'!I8</f>
        <v>-1.4818194072558981</v>
      </c>
      <c r="C18" s="164" t="s">
        <v>1022</v>
      </c>
    </row>
    <row r="19" spans="1:3" ht="15">
      <c r="A19" s="187" t="s">
        <v>1045</v>
      </c>
      <c r="B19" s="171">
        <f>'124'!I12</f>
        <v>-4.867648185776488</v>
      </c>
      <c r="C19" s="164">
        <v>124</v>
      </c>
    </row>
    <row r="20" spans="1:3" ht="15">
      <c r="A20" s="188" t="s">
        <v>747</v>
      </c>
      <c r="B20" s="171">
        <f>'81'!I16+'92'!I15+'114'!I13+'145'!I11</f>
        <v>-0.36823013249681935</v>
      </c>
      <c r="C20" s="164" t="s">
        <v>1231</v>
      </c>
    </row>
    <row r="21" spans="1:3" ht="15">
      <c r="A21" s="188" t="s">
        <v>907</v>
      </c>
      <c r="B21" s="171">
        <f>'105'!I8+'132'!I14</f>
        <v>0.2963090403627575</v>
      </c>
      <c r="C21" s="164" t="s">
        <v>1112</v>
      </c>
    </row>
    <row r="22" spans="1:3" ht="15">
      <c r="A22" s="188" t="s">
        <v>911</v>
      </c>
      <c r="B22" s="171">
        <f>'106'!I4</f>
        <v>24.71253392491508</v>
      </c>
      <c r="C22" s="164">
        <v>106</v>
      </c>
    </row>
    <row r="23" spans="1:3" ht="15">
      <c r="A23" s="121" t="s">
        <v>12</v>
      </c>
      <c r="B23" s="171">
        <f>'29(1)'!G9</f>
        <v>-0.09830079155688054</v>
      </c>
      <c r="C23" s="164" t="s">
        <v>13</v>
      </c>
    </row>
    <row r="24" spans="1:3" ht="15">
      <c r="A24" s="121" t="s">
        <v>428</v>
      </c>
      <c r="B24" s="171">
        <f>'43'!G16</f>
        <v>0.9107395409745322</v>
      </c>
      <c r="C24" s="164">
        <v>43</v>
      </c>
    </row>
    <row r="25" spans="1:3" ht="15">
      <c r="A25" s="189" t="s">
        <v>14</v>
      </c>
      <c r="B25" s="171">
        <f>'21'!G17+'34'!G11+'66'!I8+'130'!I6</f>
        <v>-0.6753806618396538</v>
      </c>
      <c r="C25" s="164" t="s">
        <v>1099</v>
      </c>
    </row>
    <row r="26" spans="1:3" ht="15">
      <c r="A26" s="210" t="s">
        <v>1029</v>
      </c>
      <c r="B26" s="171">
        <f>'122'!I11+'151'!I13</f>
        <v>-1851.665126972505</v>
      </c>
      <c r="C26" s="164" t="s">
        <v>1304</v>
      </c>
    </row>
    <row r="27" spans="1:3" ht="15">
      <c r="A27" s="121" t="s">
        <v>15</v>
      </c>
      <c r="B27" s="171">
        <f>8!I10+9!I11+'12'!I15</f>
        <v>2.434347858294302</v>
      </c>
      <c r="C27" s="164" t="s">
        <v>16</v>
      </c>
    </row>
    <row r="28" spans="1:3" ht="15">
      <c r="A28" s="189" t="s">
        <v>652</v>
      </c>
      <c r="B28" s="171">
        <f>'68'!I8+'89'!I10+'97'!I13+'117'!I10+'128'!I7+'130'!I13</f>
        <v>17.965411514739174</v>
      </c>
      <c r="C28" s="164" t="s">
        <v>1100</v>
      </c>
    </row>
    <row r="29" spans="1:3" ht="15">
      <c r="A29" s="189" t="s">
        <v>478</v>
      </c>
      <c r="B29" s="171">
        <f>'49'!G6+'71'!I9</f>
        <v>-0.2951632217294673</v>
      </c>
      <c r="C29" s="164" t="s">
        <v>677</v>
      </c>
    </row>
    <row r="30" spans="1:3" ht="15">
      <c r="A30" s="189" t="s">
        <v>1123</v>
      </c>
      <c r="B30" s="171">
        <f>'133'!I10</f>
        <v>0.09340838334264845</v>
      </c>
      <c r="C30" s="164">
        <v>133</v>
      </c>
    </row>
    <row r="31" spans="1:3" ht="15">
      <c r="A31" s="189" t="s">
        <v>354</v>
      </c>
      <c r="B31" s="171">
        <f>'40'!G19+'44'!G12+'49'!G11+'66'!I4+'117'!I9+'118'!I10+'135'!I7</f>
        <v>-4.628443468400093</v>
      </c>
      <c r="C31" s="164" t="s">
        <v>1147</v>
      </c>
    </row>
    <row r="32" spans="1:3" ht="15">
      <c r="A32" s="189" t="s">
        <v>914</v>
      </c>
      <c r="B32" s="171">
        <f>'106'!I9</f>
        <v>-0.4353367918083677</v>
      </c>
      <c r="C32" s="164">
        <v>106</v>
      </c>
    </row>
    <row r="33" spans="1:3" ht="15">
      <c r="A33" s="189" t="s">
        <v>1007</v>
      </c>
      <c r="B33" s="171">
        <f>'119'!I10</f>
        <v>35.09605397042105</v>
      </c>
      <c r="C33" s="164">
        <v>119</v>
      </c>
    </row>
    <row r="34" spans="1:3" ht="15">
      <c r="A34" s="188" t="s">
        <v>960</v>
      </c>
      <c r="B34" s="171">
        <f>'114'!I11+'119'!I21+'136'!I9+'138'!I9</f>
        <v>-2.9429412900105376</v>
      </c>
      <c r="C34" s="164" t="s">
        <v>1169</v>
      </c>
    </row>
    <row r="35" spans="1:3" ht="15">
      <c r="A35" s="189" t="s">
        <v>17</v>
      </c>
      <c r="B35" s="171">
        <f>'11'!I12</f>
        <v>0.12749727463324234</v>
      </c>
      <c r="C35" s="164">
        <v>11</v>
      </c>
    </row>
    <row r="36" spans="1:3" ht="15">
      <c r="A36" s="189" t="s">
        <v>1149</v>
      </c>
      <c r="B36" s="171">
        <f>'136'!I7</f>
        <v>10.475321592920409</v>
      </c>
      <c r="C36" s="164">
        <v>136</v>
      </c>
    </row>
    <row r="37" spans="1:3" ht="15">
      <c r="A37" s="189" t="s">
        <v>860</v>
      </c>
      <c r="B37" s="171">
        <f>'97'!I11+'103'!I12+'109'!I8+'116'!I9+'118'!I12+'121'!I9</f>
        <v>29.446764413776236</v>
      </c>
      <c r="C37" s="164" t="s">
        <v>1023</v>
      </c>
    </row>
    <row r="38" spans="1:3" ht="15">
      <c r="A38" s="189" t="s">
        <v>18</v>
      </c>
      <c r="B38" s="171">
        <f>9!I10+'16(1)'!I10</f>
        <v>-2.040680921612079</v>
      </c>
      <c r="C38" s="164" t="s">
        <v>19</v>
      </c>
    </row>
    <row r="39" spans="1:3" ht="15">
      <c r="A39" s="121" t="s">
        <v>745</v>
      </c>
      <c r="B39" s="171">
        <f>'81'!I11+'91'!I6</f>
        <v>5.623645130467651</v>
      </c>
      <c r="C39" s="164" t="s">
        <v>819</v>
      </c>
    </row>
    <row r="40" spans="1:3" ht="15">
      <c r="A40" s="121" t="s">
        <v>544</v>
      </c>
      <c r="B40" s="171">
        <f>'56'!I13+'80'!I4+'99'!I5</f>
        <v>-3.175572185214037</v>
      </c>
      <c r="C40" s="164" t="s">
        <v>879</v>
      </c>
    </row>
    <row r="41" spans="1:3" ht="15">
      <c r="A41" s="189" t="s">
        <v>824</v>
      </c>
      <c r="B41" s="171">
        <f>'92'!I10+'99'!I13+'115'!I15+'125'!I16</f>
        <v>0.47890803969448825</v>
      </c>
      <c r="C41" s="164" t="s">
        <v>1061</v>
      </c>
    </row>
    <row r="42" spans="1:3" ht="15">
      <c r="A42" s="121" t="s">
        <v>20</v>
      </c>
      <c r="B42" s="171">
        <f>'12'!I14+'21'!G7</f>
        <v>5.670734018123653</v>
      </c>
      <c r="C42" s="164" t="s">
        <v>21</v>
      </c>
    </row>
    <row r="43" spans="1:3" ht="15">
      <c r="A43" s="188" t="s">
        <v>600</v>
      </c>
      <c r="B43" s="171">
        <f>'62'!I15+'82'!I6+'101'!I10+'124'!I13+'140'!I6</f>
        <v>0.11006501191286588</v>
      </c>
      <c r="C43" s="164" t="s">
        <v>1190</v>
      </c>
    </row>
    <row r="44" spans="1:3" ht="15">
      <c r="A44" s="121" t="s">
        <v>22</v>
      </c>
      <c r="B44" s="171">
        <f>'21'!G15</f>
        <v>2.064372907545703</v>
      </c>
      <c r="C44" s="164">
        <v>21</v>
      </c>
    </row>
    <row r="45" spans="1:3" ht="15">
      <c r="A45" s="188" t="s">
        <v>283</v>
      </c>
      <c r="B45" s="171">
        <f>9!I12+'10'!I5+'19'!I11+'26'!G12+'70'!I10+'96'!I10+'112'!I5+'132'!I5</f>
        <v>-7.928855272253088</v>
      </c>
      <c r="C45" s="164" t="s">
        <v>1113</v>
      </c>
    </row>
    <row r="46" spans="1:3" ht="15">
      <c r="A46" s="121" t="s">
        <v>891</v>
      </c>
      <c r="B46" s="171">
        <f>'102'!I6+'104'!I8</f>
        <v>-0.1949949434088012</v>
      </c>
      <c r="C46" s="164" t="s">
        <v>901</v>
      </c>
    </row>
    <row r="47" spans="1:3" ht="15">
      <c r="A47" s="121" t="s">
        <v>769</v>
      </c>
      <c r="B47" s="171">
        <f>'84'!I8</f>
        <v>-10.732486793002863</v>
      </c>
      <c r="C47" s="164">
        <v>84</v>
      </c>
    </row>
    <row r="48" spans="1:3" ht="15">
      <c r="A48" s="188" t="s">
        <v>1068</v>
      </c>
      <c r="B48" s="171">
        <f>'126'!I9+'141'!I14</f>
        <v>0.1976146256533866</v>
      </c>
      <c r="C48" s="164" t="s">
        <v>1199</v>
      </c>
    </row>
    <row r="49" spans="1:3" ht="15">
      <c r="A49" s="188" t="s">
        <v>1216</v>
      </c>
      <c r="B49" s="171">
        <f>'144'!I9</f>
        <v>-0.1644897023155636</v>
      </c>
      <c r="C49" s="164">
        <v>144</v>
      </c>
    </row>
    <row r="50" spans="1:3" ht="15">
      <c r="A50" s="188" t="s">
        <v>24</v>
      </c>
      <c r="B50" s="171">
        <f>'29(2)'!G17+'30'!G8+'31'!G8+'47'!G6+'71'!I12+'82'!I17+'147'!I14</f>
        <v>0.3866336650360154</v>
      </c>
      <c r="C50" s="164" t="s">
        <v>1245</v>
      </c>
    </row>
    <row r="51" spans="1:3" ht="15">
      <c r="A51" s="121" t="s">
        <v>407</v>
      </c>
      <c r="B51" s="171">
        <f>'40'!G8+'47'!G7</f>
        <v>-22.674280615426483</v>
      </c>
      <c r="C51" s="164" t="s">
        <v>467</v>
      </c>
    </row>
    <row r="52" spans="1:3" ht="15">
      <c r="A52" s="121" t="s">
        <v>674</v>
      </c>
      <c r="B52" s="171">
        <f>'71'!I7+'74'!I7</f>
        <v>27.336688945246237</v>
      </c>
      <c r="C52" s="164" t="s">
        <v>711</v>
      </c>
    </row>
    <row r="53" spans="1:3" ht="15">
      <c r="A53" s="121" t="s">
        <v>25</v>
      </c>
      <c r="B53" s="171">
        <f>'26'!G5</f>
        <v>-0.10356042451223857</v>
      </c>
      <c r="C53" s="164">
        <v>26</v>
      </c>
    </row>
    <row r="54" spans="1:3" ht="15">
      <c r="A54" s="121" t="s">
        <v>509</v>
      </c>
      <c r="B54" s="171">
        <f>'52'!H6+'56'!I5+'62'!I6</f>
        <v>8.687438034167826</v>
      </c>
      <c r="C54" s="164" t="s">
        <v>603</v>
      </c>
    </row>
    <row r="55" spans="1:3" ht="15">
      <c r="A55" s="121" t="s">
        <v>26</v>
      </c>
      <c r="B55" s="172">
        <v>0</v>
      </c>
      <c r="C55" s="164">
        <v>1</v>
      </c>
    </row>
    <row r="56" spans="1:3" ht="15">
      <c r="A56" s="121" t="s">
        <v>27</v>
      </c>
      <c r="B56" s="171">
        <f>'25'!G11+'30'!G5</f>
        <v>0.3381755466394907</v>
      </c>
      <c r="C56" s="164" t="s">
        <v>28</v>
      </c>
    </row>
    <row r="57" spans="1:3" ht="15">
      <c r="A57" s="121" t="s">
        <v>29</v>
      </c>
      <c r="B57" s="171">
        <f>'23'!G9</f>
        <v>0.3364005144694602</v>
      </c>
      <c r="C57" s="164">
        <v>23</v>
      </c>
    </row>
    <row r="58" spans="1:3" ht="15">
      <c r="A58" s="121" t="s">
        <v>30</v>
      </c>
      <c r="B58" s="171">
        <f>'16(2)'!I5</f>
        <v>-0.5701303712178856</v>
      </c>
      <c r="C58" s="164" t="s">
        <v>31</v>
      </c>
    </row>
    <row r="59" spans="1:3" ht="15">
      <c r="A59" s="121" t="s">
        <v>706</v>
      </c>
      <c r="B59" s="171">
        <f>'74'!I8</f>
        <v>0.2498641630900238</v>
      </c>
      <c r="C59" s="164">
        <v>74</v>
      </c>
    </row>
    <row r="60" spans="1:3" ht="15">
      <c r="A60" s="121" t="s">
        <v>974</v>
      </c>
      <c r="B60" s="171">
        <f>'116'!I7</f>
        <v>0.4129366047950498</v>
      </c>
      <c r="C60" s="164">
        <v>116</v>
      </c>
    </row>
    <row r="61" spans="1:3" ht="15">
      <c r="A61" s="121" t="s">
        <v>441</v>
      </c>
      <c r="B61" s="171">
        <f>'44'!G7+'76'!I5</f>
        <v>23.25500408897142</v>
      </c>
      <c r="C61" s="164" t="s">
        <v>721</v>
      </c>
    </row>
    <row r="62" spans="1:3" ht="15">
      <c r="A62" s="188" t="s">
        <v>746</v>
      </c>
      <c r="B62" s="171">
        <f>'81'!I15+'102'!I7+'103'!I4+'132'!I8</f>
        <v>0.19351402906056592</v>
      </c>
      <c r="C62" s="164" t="s">
        <v>1114</v>
      </c>
    </row>
    <row r="63" spans="1:3" ht="15">
      <c r="A63" s="188" t="s">
        <v>1168</v>
      </c>
      <c r="B63" s="171">
        <f>'138'!I7</f>
        <v>-12.442208302986046</v>
      </c>
      <c r="C63" s="164">
        <v>138</v>
      </c>
    </row>
    <row r="64" spans="1:3" ht="15">
      <c r="A64" s="121" t="s">
        <v>415</v>
      </c>
      <c r="B64" s="171">
        <f>'41'!G9</f>
        <v>0.3835863126616914</v>
      </c>
      <c r="C64" s="164">
        <v>41</v>
      </c>
    </row>
    <row r="65" spans="1:3" ht="15">
      <c r="A65" s="188" t="s">
        <v>899</v>
      </c>
      <c r="B65" s="171">
        <f>'104'!I10+'129'!I7+'147'!I10</f>
        <v>3.0592511736035704</v>
      </c>
      <c r="C65" s="164" t="s">
        <v>1246</v>
      </c>
    </row>
    <row r="66" spans="1:3" ht="15">
      <c r="A66" s="188" t="s">
        <v>770</v>
      </c>
      <c r="B66" s="171">
        <f>'84'!I9+'86'!I5+'92'!I12</f>
        <v>-0.23743167206487215</v>
      </c>
      <c r="C66" s="164" t="s">
        <v>830</v>
      </c>
    </row>
    <row r="67" spans="1:3" ht="15">
      <c r="A67" s="189" t="s">
        <v>953</v>
      </c>
      <c r="B67" s="171">
        <f>'113'!I16+'115'!I13+'125'!I20</f>
        <v>-0.079160772457044</v>
      </c>
      <c r="C67" s="164" t="s">
        <v>1062</v>
      </c>
    </row>
    <row r="68" spans="1:3" ht="15">
      <c r="A68" s="188" t="s">
        <v>813</v>
      </c>
      <c r="B68" s="171">
        <f>'90'!I7+'119'!I15+'144'!I12</f>
        <v>-60.50250576078383</v>
      </c>
      <c r="C68" s="164" t="s">
        <v>1223</v>
      </c>
    </row>
    <row r="69" spans="1:3" ht="15">
      <c r="A69" s="188" t="s">
        <v>909</v>
      </c>
      <c r="B69" s="171">
        <f>'105'!I14</f>
        <v>0.2837046352857442</v>
      </c>
      <c r="C69" s="164">
        <v>105</v>
      </c>
    </row>
    <row r="70" spans="1:3" ht="15">
      <c r="A70" s="186" t="s">
        <v>616</v>
      </c>
      <c r="B70" s="171">
        <f>'64'!I8+'89'!I11</f>
        <v>-0.3134149111997431</v>
      </c>
      <c r="C70" s="164" t="s">
        <v>810</v>
      </c>
    </row>
    <row r="71" spans="1:3" ht="15">
      <c r="A71" s="121" t="s">
        <v>883</v>
      </c>
      <c r="B71" s="171">
        <f>'101'!I7</f>
        <v>-1.0051904402515675</v>
      </c>
      <c r="C71" s="164">
        <v>101</v>
      </c>
    </row>
    <row r="72" spans="1:3" ht="15">
      <c r="A72" s="121" t="s">
        <v>32</v>
      </c>
      <c r="B72" s="171">
        <f>'25'!G13+'27'!G5+'29(1)'!G8</f>
        <v>1.20741018115433</v>
      </c>
      <c r="C72" s="164" t="s">
        <v>33</v>
      </c>
    </row>
    <row r="73" spans="1:3" ht="15">
      <c r="A73" s="188" t="s">
        <v>1194</v>
      </c>
      <c r="B73" s="171">
        <f>'141'!I13</f>
        <v>-0.46234723639076947</v>
      </c>
      <c r="C73" s="164">
        <v>141</v>
      </c>
    </row>
    <row r="74" spans="1:3" ht="15">
      <c r="A74" s="121" t="s">
        <v>408</v>
      </c>
      <c r="B74" s="171">
        <f>'40'!G11</f>
        <v>2.5724866361206296</v>
      </c>
      <c r="C74" s="164">
        <v>40</v>
      </c>
    </row>
    <row r="75" spans="1:3" ht="15">
      <c r="A75" s="121" t="s">
        <v>330</v>
      </c>
      <c r="B75" s="171">
        <f>'14'!I8+'27'!G7+'29(2)'!G5+'38'!G12+'89'!I7+'136'!I10</f>
        <v>-2.7128535513620022</v>
      </c>
      <c r="C75" s="164" t="s">
        <v>1151</v>
      </c>
    </row>
    <row r="76" spans="1:3" ht="15">
      <c r="A76" s="121" t="s">
        <v>35</v>
      </c>
      <c r="B76" s="171">
        <f>'33'!G19</f>
        <v>3.223134153165347</v>
      </c>
      <c r="C76" s="164">
        <v>33</v>
      </c>
    </row>
    <row r="77" spans="1:3" ht="15">
      <c r="A77" s="121" t="s">
        <v>36</v>
      </c>
      <c r="B77" s="171">
        <f>'37'!G9+'39'!G9+'65'!I10+'88'!I13</f>
        <v>-31.691741395181907</v>
      </c>
      <c r="C77" s="164" t="s">
        <v>798</v>
      </c>
    </row>
    <row r="78" spans="1:3" ht="15">
      <c r="A78" s="188" t="s">
        <v>854</v>
      </c>
      <c r="B78" s="171">
        <f>'96'!I12</f>
        <v>-0.23008516483503172</v>
      </c>
      <c r="C78" s="164">
        <v>96</v>
      </c>
    </row>
    <row r="79" spans="1:3" ht="15">
      <c r="A79" s="121" t="s">
        <v>894</v>
      </c>
      <c r="B79" s="171">
        <f>'103'!I5</f>
        <v>2.606717689530683</v>
      </c>
      <c r="C79" s="164">
        <v>103</v>
      </c>
    </row>
    <row r="80" spans="1:3" ht="15">
      <c r="A80" s="121" t="s">
        <v>37</v>
      </c>
      <c r="B80" s="171">
        <f>'37'!G8+'41'!G5</f>
        <v>-0.21599757054173097</v>
      </c>
      <c r="C80" s="164">
        <v>37.41</v>
      </c>
    </row>
    <row r="81" spans="1:3" ht="15">
      <c r="A81" s="121" t="s">
        <v>764</v>
      </c>
      <c r="B81" s="171">
        <f>'83'!I8+'96'!I4+'111'!I7</f>
        <v>25.27146664423617</v>
      </c>
      <c r="C81" s="164" t="s">
        <v>942</v>
      </c>
    </row>
    <row r="82" spans="1:3" ht="15">
      <c r="A82" s="121" t="s">
        <v>38</v>
      </c>
      <c r="B82" s="171">
        <f>'39'!G7+'45'!G11+'77'!I9</f>
        <v>1.7821592967039805</v>
      </c>
      <c r="C82" s="164" t="s">
        <v>725</v>
      </c>
    </row>
    <row r="83" spans="1:3" ht="15">
      <c r="A83" s="191" t="s">
        <v>480</v>
      </c>
      <c r="B83" s="171">
        <f>'49'!G10</f>
        <v>0.14422860052172837</v>
      </c>
      <c r="C83" s="164">
        <v>49</v>
      </c>
    </row>
    <row r="84" spans="1:3" ht="15">
      <c r="A84" s="188" t="s">
        <v>990</v>
      </c>
      <c r="B84" s="171">
        <f>'117'!I7+'141'!I9</f>
        <v>-0.4990266922181945</v>
      </c>
      <c r="C84" s="164" t="s">
        <v>1198</v>
      </c>
    </row>
    <row r="85" spans="1:3" ht="15">
      <c r="A85" s="121" t="s">
        <v>39</v>
      </c>
      <c r="B85" s="171">
        <f>'27'!G8</f>
        <v>3.157100286533023</v>
      </c>
      <c r="C85" s="164">
        <v>27</v>
      </c>
    </row>
    <row r="86" spans="1:3" ht="15">
      <c r="A86" s="191" t="s">
        <v>510</v>
      </c>
      <c r="B86" s="171">
        <f>'52'!H7+'78'!I10</f>
        <v>-0.14170503157475878</v>
      </c>
      <c r="C86" s="164" t="s">
        <v>729</v>
      </c>
    </row>
    <row r="87" spans="1:3" ht="15">
      <c r="A87" s="121" t="s">
        <v>667</v>
      </c>
      <c r="B87" s="171">
        <f>'70'!I7</f>
        <v>-0.38662327909878513</v>
      </c>
      <c r="C87" s="164">
        <v>70</v>
      </c>
    </row>
    <row r="88" spans="1:3" ht="15">
      <c r="A88" s="188" t="s">
        <v>1044</v>
      </c>
      <c r="B88" s="171">
        <f>'124'!I8</f>
        <v>-0.6987982583454482</v>
      </c>
      <c r="C88" s="164">
        <v>124</v>
      </c>
    </row>
    <row r="89" spans="1:3" ht="15">
      <c r="A89" s="210" t="s">
        <v>704</v>
      </c>
      <c r="B89" s="171">
        <f>'74'!I5+'96'!I8+'131'!I18+'151'!I5</f>
        <v>-457.20021578254887</v>
      </c>
      <c r="C89" s="164" t="s">
        <v>1303</v>
      </c>
    </row>
    <row r="90" spans="1:3" ht="15">
      <c r="A90" s="212" t="s">
        <v>631</v>
      </c>
      <c r="B90" s="171">
        <f>'66'!I12+'116'!I10</f>
        <v>-0.2656597453579934</v>
      </c>
      <c r="C90" s="164" t="s">
        <v>979</v>
      </c>
    </row>
    <row r="91" spans="1:3" ht="15">
      <c r="A91" s="188" t="s">
        <v>1225</v>
      </c>
      <c r="B91" s="171">
        <f>'145'!I4</f>
        <v>25.704142181400698</v>
      </c>
      <c r="C91" s="164">
        <v>145</v>
      </c>
    </row>
    <row r="92" spans="1:3" ht="15">
      <c r="A92" s="188" t="s">
        <v>550</v>
      </c>
      <c r="B92" s="171">
        <f>'57'!I8+'129'!I9</f>
        <v>12.025869828875102</v>
      </c>
      <c r="C92" s="164" t="s">
        <v>1091</v>
      </c>
    </row>
    <row r="93" spans="1:3" ht="15">
      <c r="A93" s="188" t="s">
        <v>1215</v>
      </c>
      <c r="B93" s="171">
        <f>'144'!I8+'147'!I4</f>
        <v>5.246206563329679</v>
      </c>
      <c r="C93" s="164" t="s">
        <v>1247</v>
      </c>
    </row>
    <row r="94" spans="1:3" ht="15">
      <c r="A94" s="121" t="s">
        <v>584</v>
      </c>
      <c r="B94" s="171">
        <f>'61'!I7+'63'!I8+'80'!I12+'101'!I11</f>
        <v>3.2070363184453754</v>
      </c>
      <c r="C94" s="164" t="s">
        <v>887</v>
      </c>
    </row>
    <row r="95" spans="1:3" ht="15">
      <c r="A95" s="121" t="s">
        <v>40</v>
      </c>
      <c r="B95" s="171">
        <f>'19'!I13</f>
        <v>-0.3500427184465025</v>
      </c>
      <c r="C95" s="164">
        <v>19</v>
      </c>
    </row>
    <row r="96" spans="1:3" ht="15">
      <c r="A96" s="121" t="s">
        <v>41</v>
      </c>
      <c r="B96" s="171">
        <f>'15'!I11+'31'!G6+'51'!H13+'60'!I24+'68'!I5+'81'!I7</f>
        <v>13.383318268918856</v>
      </c>
      <c r="C96" s="164" t="s">
        <v>749</v>
      </c>
    </row>
    <row r="97" spans="1:3" ht="15">
      <c r="A97" s="213" t="s">
        <v>789</v>
      </c>
      <c r="B97" s="171">
        <f>'87'!I9+'148'!I8</f>
        <v>-0.055322832947240386</v>
      </c>
      <c r="C97" s="164" t="s">
        <v>1268</v>
      </c>
    </row>
    <row r="98" spans="1:3" ht="15">
      <c r="A98" s="188" t="s">
        <v>1218</v>
      </c>
      <c r="B98" s="171">
        <f>'144'!I15</f>
        <v>-0.05457800808540014</v>
      </c>
      <c r="C98" s="164">
        <v>144</v>
      </c>
    </row>
    <row r="99" spans="1:3" ht="15">
      <c r="A99" s="121" t="s">
        <v>890</v>
      </c>
      <c r="B99" s="171">
        <f>'102'!I4</f>
        <v>-2.8520782370153483</v>
      </c>
      <c r="C99" s="164">
        <v>102</v>
      </c>
    </row>
    <row r="100" spans="1:3" ht="15">
      <c r="A100" s="188" t="s">
        <v>1122</v>
      </c>
      <c r="B100" s="171">
        <f>'133'!I7+'137'!I15</f>
        <v>66.46523619304367</v>
      </c>
      <c r="C100" s="164" t="s">
        <v>1166</v>
      </c>
    </row>
    <row r="101" spans="1:3" ht="15">
      <c r="A101" s="121" t="s">
        <v>855</v>
      </c>
      <c r="B101" s="171">
        <f>'96'!I14</f>
        <v>0.3920759340659288</v>
      </c>
      <c r="C101" s="164">
        <v>96</v>
      </c>
    </row>
    <row r="102" spans="1:3" ht="15">
      <c r="A102" s="187" t="s">
        <v>920</v>
      </c>
      <c r="B102" s="171">
        <f>'107'!I9</f>
        <v>3.9928833915211044</v>
      </c>
      <c r="C102" s="164">
        <v>107</v>
      </c>
    </row>
    <row r="103" spans="1:3" ht="15">
      <c r="A103" s="222" t="s">
        <v>429</v>
      </c>
      <c r="B103" s="173">
        <f>'43'!G17+'44'!G10</f>
        <v>-0.34656613170989203</v>
      </c>
      <c r="C103" s="165" t="s">
        <v>444</v>
      </c>
    </row>
    <row r="104" spans="1:3" ht="15">
      <c r="A104" s="189" t="s">
        <v>1056</v>
      </c>
      <c r="B104" s="173">
        <f>'125'!I11</f>
        <v>-0.15996929307812024</v>
      </c>
      <c r="C104" s="165">
        <v>125</v>
      </c>
    </row>
    <row r="105" spans="1:3" ht="15">
      <c r="A105" s="188" t="s">
        <v>1039</v>
      </c>
      <c r="B105" s="173">
        <f>'123'!I12</f>
        <v>0.8640053150057838</v>
      </c>
      <c r="C105" s="165">
        <v>123</v>
      </c>
    </row>
    <row r="106" spans="1:3" ht="15">
      <c r="A106" s="188" t="s">
        <v>851</v>
      </c>
      <c r="B106" s="173">
        <f>'95'!I11</f>
        <v>0.1707368053994287</v>
      </c>
      <c r="C106" s="165">
        <v>95</v>
      </c>
    </row>
    <row r="107" spans="1:3" ht="15">
      <c r="A107" s="187" t="s">
        <v>1180</v>
      </c>
      <c r="B107" s="171">
        <f>'139'!I13+'140'!I4</f>
        <v>-4.9218752121903435</v>
      </c>
      <c r="C107" s="164" t="s">
        <v>1189</v>
      </c>
    </row>
    <row r="108" spans="1:3" ht="15">
      <c r="A108" s="188" t="s">
        <v>969</v>
      </c>
      <c r="B108" s="171">
        <f>'115'!I9</f>
        <v>0.28831564306130986</v>
      </c>
      <c r="C108" s="164">
        <v>115</v>
      </c>
    </row>
    <row r="109" spans="1:3" ht="15">
      <c r="A109" s="188" t="s">
        <v>1141</v>
      </c>
      <c r="B109" s="171">
        <f>'135'!I14</f>
        <v>-11.874513170731689</v>
      </c>
      <c r="C109" s="164">
        <v>135</v>
      </c>
    </row>
    <row r="110" spans="1:3" ht="15">
      <c r="A110" s="188" t="s">
        <v>517</v>
      </c>
      <c r="B110" s="171">
        <f>'52'!H8+'69'!I10+'78'!I5+'79'!I4+'143'!I10</f>
        <v>-22.979458352952292</v>
      </c>
      <c r="C110" s="164" t="s">
        <v>1211</v>
      </c>
    </row>
    <row r="111" spans="1:3" ht="15">
      <c r="A111" s="191" t="s">
        <v>668</v>
      </c>
      <c r="B111" s="171">
        <f>'70'!I9</f>
        <v>-0.48980403003770334</v>
      </c>
      <c r="C111" s="164">
        <v>70</v>
      </c>
    </row>
    <row r="112" spans="1:3" ht="15">
      <c r="A112" s="121" t="s">
        <v>454</v>
      </c>
      <c r="B112" s="171">
        <f>'46'!G7</f>
        <v>63.400171252566906</v>
      </c>
      <c r="C112" s="164">
        <v>46</v>
      </c>
    </row>
    <row r="113" spans="1:3" ht="15">
      <c r="A113" s="121" t="s">
        <v>644</v>
      </c>
      <c r="B113" s="171">
        <f>'67'!I6</f>
        <v>9.443398264462758</v>
      </c>
      <c r="C113" s="164">
        <v>67</v>
      </c>
    </row>
    <row r="114" spans="1:3" ht="15">
      <c r="A114" s="121" t="s">
        <v>466</v>
      </c>
      <c r="B114" s="171">
        <f>'47'!G15</f>
        <v>-0.20735142774333326</v>
      </c>
      <c r="C114" s="164">
        <v>47</v>
      </c>
    </row>
    <row r="115" spans="1:3" ht="15">
      <c r="A115" s="121" t="s">
        <v>42</v>
      </c>
      <c r="B115" s="171">
        <f>2!I12+3!I10+'10'!I7+'11'!I13+'13'!I8</f>
        <v>-0.0363352721572312</v>
      </c>
      <c r="C115" s="164" t="s">
        <v>43</v>
      </c>
    </row>
    <row r="116" spans="1:3" ht="15">
      <c r="A116" s="121" t="s">
        <v>44</v>
      </c>
      <c r="B116" s="171">
        <f>'33'!G7+'97'!I8</f>
        <v>9.457844875869455</v>
      </c>
      <c r="C116" s="164" t="s">
        <v>864</v>
      </c>
    </row>
    <row r="117" spans="1:3" ht="15">
      <c r="A117" s="186" t="s">
        <v>596</v>
      </c>
      <c r="B117" s="171">
        <f>'62'!I5+'66'!I20+'88'!I9+'113'!I14</f>
        <v>-4.31516247464873</v>
      </c>
      <c r="C117" s="164" t="s">
        <v>954</v>
      </c>
    </row>
    <row r="118" spans="1:3" ht="15">
      <c r="A118" s="192" t="s">
        <v>414</v>
      </c>
      <c r="B118" s="171">
        <f>'41'!G8+'45'!G6+'47'!G13+'50'!H4+'58'!I6+'63'!I13</f>
        <v>-0.17456852775217158</v>
      </c>
      <c r="C118" s="164" t="s">
        <v>612</v>
      </c>
    </row>
    <row r="119" spans="1:3" ht="15">
      <c r="A119" s="202" t="s">
        <v>1046</v>
      </c>
      <c r="B119" s="174">
        <f>'124'!I14+'125'!I4+'131'!I15</f>
        <v>1.2636881288168524</v>
      </c>
      <c r="C119" s="167" t="s">
        <v>1109</v>
      </c>
    </row>
    <row r="120" spans="1:3" ht="15">
      <c r="A120" s="210" t="s">
        <v>1295</v>
      </c>
      <c r="B120" s="171">
        <f>'151'!I12</f>
        <v>-2161.942048019698</v>
      </c>
      <c r="C120" s="164">
        <v>151</v>
      </c>
    </row>
    <row r="121" spans="1:3" ht="15">
      <c r="A121" s="190" t="s">
        <v>45</v>
      </c>
      <c r="B121" s="171">
        <f>'36'!G14+'51'!H6+'98'!I8</f>
        <v>31.021435481563685</v>
      </c>
      <c r="C121" s="164" t="s">
        <v>872</v>
      </c>
    </row>
    <row r="122" spans="1:3" ht="15">
      <c r="A122" s="186" t="s">
        <v>431</v>
      </c>
      <c r="B122" s="171">
        <f>'43'!G9+'62'!I7</f>
        <v>0.683480336778473</v>
      </c>
      <c r="C122" s="164" t="s">
        <v>604</v>
      </c>
    </row>
    <row r="123" spans="1:3" ht="15">
      <c r="A123" s="190" t="s">
        <v>1009</v>
      </c>
      <c r="B123" s="171">
        <f>'119'!I14</f>
        <v>6.016572923776948</v>
      </c>
      <c r="C123" s="164">
        <v>119</v>
      </c>
    </row>
    <row r="124" spans="1:3" ht="15">
      <c r="A124" s="186" t="s">
        <v>46</v>
      </c>
      <c r="B124" s="171">
        <f>'11'!I10</f>
        <v>-2.452766387141878</v>
      </c>
      <c r="C124" s="164">
        <v>11</v>
      </c>
    </row>
    <row r="125" spans="1:3" ht="15">
      <c r="A125" s="188" t="s">
        <v>1006</v>
      </c>
      <c r="B125" s="174">
        <f>'119'!I7+'138'!I8</f>
        <v>-8.873605512968425</v>
      </c>
      <c r="C125" s="167" t="s">
        <v>1170</v>
      </c>
    </row>
    <row r="126" spans="1:3" ht="15">
      <c r="A126" s="121" t="s">
        <v>47</v>
      </c>
      <c r="B126" s="174">
        <f>'32'!G6</f>
        <v>10.494947741433066</v>
      </c>
      <c r="C126" s="167">
        <v>32</v>
      </c>
    </row>
    <row r="127" spans="1:3" ht="15">
      <c r="A127" s="121" t="s">
        <v>876</v>
      </c>
      <c r="B127" s="171">
        <f>'99'!I9+'107'!I11</f>
        <v>-8.153619500830928</v>
      </c>
      <c r="C127" s="164" t="s">
        <v>924</v>
      </c>
    </row>
    <row r="128" spans="1:3" ht="15">
      <c r="A128" s="121" t="s">
        <v>538</v>
      </c>
      <c r="B128" s="171">
        <f>'55'!I7</f>
        <v>-0.09191984476069592</v>
      </c>
      <c r="C128" s="164">
        <v>55</v>
      </c>
    </row>
    <row r="129" spans="1:3" ht="15">
      <c r="A129" s="186" t="s">
        <v>48</v>
      </c>
      <c r="B129" s="171">
        <f>'10'!I4+'23'!G11+'24'!G4+'29(1)'!G6+'66'!I14</f>
        <v>-0.2774529748785426</v>
      </c>
      <c r="C129" s="164" t="s">
        <v>639</v>
      </c>
    </row>
    <row r="130" spans="1:3" ht="15">
      <c r="A130" s="223" t="s">
        <v>705</v>
      </c>
      <c r="B130" s="171">
        <f>'74'!I6+'86'!I8</f>
        <v>8.03431876490231</v>
      </c>
      <c r="C130" s="164" t="s">
        <v>785</v>
      </c>
    </row>
    <row r="131" spans="1:3" ht="15">
      <c r="A131" s="189" t="s">
        <v>576</v>
      </c>
      <c r="B131" s="171">
        <f>'60'!I8+'78'!I7+'117'!I13</f>
        <v>-0.2746734450518602</v>
      </c>
      <c r="C131" s="164" t="s">
        <v>993</v>
      </c>
    </row>
    <row r="132" spans="1:3" ht="15">
      <c r="A132" s="188" t="s">
        <v>922</v>
      </c>
      <c r="B132" s="171">
        <f>'107'!I10</f>
        <v>3.0008658354115596</v>
      </c>
      <c r="C132" s="164">
        <v>107</v>
      </c>
    </row>
    <row r="133" spans="1:3" ht="15">
      <c r="A133" s="213" t="s">
        <v>1260</v>
      </c>
      <c r="B133" s="171">
        <f>'148'!I16</f>
        <v>3.880619273132652</v>
      </c>
      <c r="C133" s="164">
        <v>148</v>
      </c>
    </row>
    <row r="134" spans="1:3" ht="15">
      <c r="A134" s="121" t="s">
        <v>906</v>
      </c>
      <c r="B134" s="171">
        <f>'105'!I5</f>
        <v>-0.22081386992431362</v>
      </c>
      <c r="C134" s="164">
        <v>105</v>
      </c>
    </row>
    <row r="135" spans="1:3" ht="15">
      <c r="A135" s="121" t="s">
        <v>420</v>
      </c>
      <c r="B135" s="171">
        <f>'42'!G5</f>
        <v>0.33312753340337053</v>
      </c>
      <c r="C135" s="164">
        <v>42</v>
      </c>
    </row>
    <row r="136" spans="1:3" ht="30">
      <c r="A136" s="121" t="s">
        <v>49</v>
      </c>
      <c r="B136" s="171">
        <f>2!I5+4!I5+'10'!I9+'12'!I5+'14'!I13+'16(1)'!I5+'21'!G5+'24'!G15+'25'!G5+'28'!G5+'30'!G10+'97'!I6+'98'!I4+'103'!I7+'114'!I4</f>
        <v>-0.12852620463894482</v>
      </c>
      <c r="C136" s="164" t="s">
        <v>962</v>
      </c>
    </row>
    <row r="137" spans="1:3" ht="30">
      <c r="A137" s="187" t="s">
        <v>50</v>
      </c>
      <c r="B137" s="171">
        <f>2!I13+3!I6+'12'!I11+'16(2)'!I16+'20'!I11+'23'!G10+'25'!G9+'32'!G14+'35'!G6+'99'!I4+'106'!I5+'128'!I5</f>
        <v>35.12613714876795</v>
      </c>
      <c r="C137" s="164" t="s">
        <v>1082</v>
      </c>
    </row>
    <row r="138" spans="1:3" ht="15">
      <c r="A138" s="193" t="s">
        <v>51</v>
      </c>
      <c r="B138" s="173">
        <f>5!I8+8!I5+9!I13+'12'!I10+'15'!I5+'68'!I9</f>
        <v>1.3691730867433876</v>
      </c>
      <c r="C138" s="165" t="s">
        <v>654</v>
      </c>
    </row>
    <row r="139" spans="1:3" ht="30">
      <c r="A139" s="194" t="s">
        <v>384</v>
      </c>
      <c r="B139" s="173">
        <f>'55'!I13+'59'!I7+'79'!I7+'82'!I10+'91'!I4+'95'!I4+'116'!I14+'117'!I4+'132'!I9</f>
        <v>0.06773470564331774</v>
      </c>
      <c r="C139" s="165" t="s">
        <v>1115</v>
      </c>
    </row>
    <row r="140" spans="1:3" ht="15">
      <c r="A140" s="188" t="s">
        <v>52</v>
      </c>
      <c r="B140" s="173">
        <f>'33'!G16</f>
        <v>4.363128824681439</v>
      </c>
      <c r="C140" s="165">
        <v>33</v>
      </c>
    </row>
    <row r="141" spans="1:3" ht="45">
      <c r="A141" s="221" t="s">
        <v>254</v>
      </c>
      <c r="B141" s="173">
        <f>8!I9+'16(1)'!I11+'19'!I5+'20'!I6+'21'!G10+'22'!G9+'23'!G12+'24'!G13+'28'!G12+'46'!G9+'96'!I11+'115'!I17+'119'!I20+'131'!I4+'135'!I16+'139'!I10+'141'!I5+'145'!I12+'150'!I8</f>
        <v>-9.738533941961691</v>
      </c>
      <c r="C141" s="165" t="s">
        <v>1280</v>
      </c>
    </row>
    <row r="142" spans="1:3" ht="15">
      <c r="A142" s="194" t="s">
        <v>528</v>
      </c>
      <c r="B142" s="173">
        <f>'54'!I11</f>
        <v>-0.20883596180078712</v>
      </c>
      <c r="C142" s="165">
        <v>54</v>
      </c>
    </row>
    <row r="143" spans="1:3" ht="15">
      <c r="A143" s="188" t="s">
        <v>565</v>
      </c>
      <c r="B143" s="171">
        <f>'59'!I9+'60'!I23+'79'!I5+'81'!I6+'106'!I6</f>
        <v>-0.11770615629518488</v>
      </c>
      <c r="C143" s="164" t="s">
        <v>917</v>
      </c>
    </row>
    <row r="144" spans="1:3" ht="15">
      <c r="A144" s="121" t="s">
        <v>54</v>
      </c>
      <c r="B144" s="171">
        <f>'29(1)'!G11</f>
        <v>-0.1071081794194697</v>
      </c>
      <c r="C144" s="164" t="s">
        <v>13</v>
      </c>
    </row>
    <row r="145" spans="1:3" ht="15">
      <c r="A145" s="121" t="s">
        <v>477</v>
      </c>
      <c r="B145" s="171">
        <f>'49'!G4</f>
        <v>0.06415834022777744</v>
      </c>
      <c r="C145" s="164">
        <v>49</v>
      </c>
    </row>
    <row r="146" spans="1:3" ht="15">
      <c r="A146" s="188" t="s">
        <v>1027</v>
      </c>
      <c r="B146" s="171">
        <f>'122'!I8+'124'!I15</f>
        <v>19.397447133608182</v>
      </c>
      <c r="C146" s="164" t="s">
        <v>1048</v>
      </c>
    </row>
    <row r="147" spans="1:3" ht="15">
      <c r="A147" s="121" t="s">
        <v>877</v>
      </c>
      <c r="B147" s="171">
        <f>'99'!I10</f>
        <v>-0.10462661478595692</v>
      </c>
      <c r="C147" s="164">
        <v>99</v>
      </c>
    </row>
    <row r="148" spans="1:3" ht="15">
      <c r="A148" s="121" t="s">
        <v>634</v>
      </c>
      <c r="B148" s="171">
        <f>'66'!I17</f>
        <v>-0.2568770093458852</v>
      </c>
      <c r="C148" s="164">
        <v>66</v>
      </c>
    </row>
    <row r="149" spans="1:3" ht="15">
      <c r="A149" s="121" t="s">
        <v>463</v>
      </c>
      <c r="B149" s="171">
        <f>'47'!G4</f>
        <v>-0.21048304102055226</v>
      </c>
      <c r="C149" s="164">
        <v>47</v>
      </c>
    </row>
    <row r="150" spans="1:3" ht="15">
      <c r="A150" s="121" t="s">
        <v>611</v>
      </c>
      <c r="B150" s="171">
        <f>'63'!I7+'112'!I9</f>
        <v>4.817457679327845</v>
      </c>
      <c r="C150" s="164" t="s">
        <v>946</v>
      </c>
    </row>
    <row r="151" spans="1:3" ht="15">
      <c r="A151" s="199" t="s">
        <v>618</v>
      </c>
      <c r="B151" s="171">
        <f>'64'!I12</f>
        <v>-7.637241291905184</v>
      </c>
      <c r="C151" s="164">
        <v>64</v>
      </c>
    </row>
    <row r="152" spans="1:3" ht="15">
      <c r="A152" s="199" t="s">
        <v>55</v>
      </c>
      <c r="B152" s="174">
        <f>'31'!G7+'34'!G10+'40'!G12</f>
        <v>-0.048372144602794265</v>
      </c>
      <c r="C152" s="167" t="s">
        <v>410</v>
      </c>
    </row>
    <row r="153" spans="1:3" ht="15">
      <c r="A153" s="188" t="s">
        <v>1217</v>
      </c>
      <c r="B153" s="171">
        <f>'144'!I14</f>
        <v>0.10165545020186073</v>
      </c>
      <c r="C153" s="164">
        <v>144</v>
      </c>
    </row>
    <row r="154" spans="1:3" ht="15">
      <c r="A154" s="121" t="s">
        <v>836</v>
      </c>
      <c r="B154" s="171">
        <f>'93'!I6</f>
        <v>863.4649194798009</v>
      </c>
      <c r="C154" s="164">
        <v>93</v>
      </c>
    </row>
    <row r="155" spans="1:3" ht="15">
      <c r="A155" s="189" t="s">
        <v>56</v>
      </c>
      <c r="B155" s="171">
        <f>7!I7+'16(2)'!I15</f>
        <v>-6.5199731532047736</v>
      </c>
      <c r="C155" s="164" t="s">
        <v>57</v>
      </c>
    </row>
    <row r="156" spans="1:3" ht="15">
      <c r="A156" s="189" t="s">
        <v>1137</v>
      </c>
      <c r="B156" s="171">
        <f>'135'!I4</f>
        <v>2.660726164079847</v>
      </c>
      <c r="C156" s="164">
        <v>135</v>
      </c>
    </row>
    <row r="157" spans="1:3" ht="15">
      <c r="A157" s="189" t="s">
        <v>861</v>
      </c>
      <c r="B157" s="171">
        <f>'97'!I12+'105'!I9+'110'!I4+'113'!I4+'116'!I6</f>
        <v>29.995872033314754</v>
      </c>
      <c r="C157" s="164" t="s">
        <v>978</v>
      </c>
    </row>
    <row r="158" spans="1:3" ht="15">
      <c r="A158" s="189" t="s">
        <v>633</v>
      </c>
      <c r="B158" s="171">
        <f>'66'!I16</f>
        <v>-0.42048205607488853</v>
      </c>
      <c r="C158" s="164">
        <v>66</v>
      </c>
    </row>
    <row r="159" spans="1:3" ht="15">
      <c r="A159" s="121" t="s">
        <v>58</v>
      </c>
      <c r="B159" s="171">
        <f>'25'!G4</f>
        <v>3.2010207252521923</v>
      </c>
      <c r="C159" s="164">
        <v>25</v>
      </c>
    </row>
    <row r="160" spans="1:3" ht="15">
      <c r="A160" s="121" t="s">
        <v>552</v>
      </c>
      <c r="B160" s="171">
        <f>'57'!I11</f>
        <v>2.671039870800996</v>
      </c>
      <c r="C160" s="164">
        <v>57</v>
      </c>
    </row>
    <row r="161" spans="1:3" ht="15">
      <c r="A161" s="189" t="s">
        <v>59</v>
      </c>
      <c r="B161" s="171">
        <f>'37'!G11</f>
        <v>-0.45558693767452496</v>
      </c>
      <c r="C161" s="164">
        <v>37</v>
      </c>
    </row>
    <row r="162" spans="1:3" ht="15">
      <c r="A162" s="189" t="s">
        <v>1131</v>
      </c>
      <c r="B162" s="171">
        <f>'15'!I13+'134'!I13</f>
        <v>2.0859917532504824</v>
      </c>
      <c r="C162" s="164" t="s">
        <v>1135</v>
      </c>
    </row>
    <row r="163" spans="1:3" ht="15">
      <c r="A163" s="189" t="s">
        <v>971</v>
      </c>
      <c r="B163" s="174">
        <f>'115'!I16</f>
        <v>12.664213023182128</v>
      </c>
      <c r="C163" s="167">
        <v>115</v>
      </c>
    </row>
    <row r="164" spans="1:3" ht="15">
      <c r="A164" s="189" t="s">
        <v>60</v>
      </c>
      <c r="B164" s="170">
        <f>'12'!I6</f>
        <v>0.6413665167095246</v>
      </c>
      <c r="C164" s="163">
        <v>12</v>
      </c>
    </row>
    <row r="165" spans="1:3" ht="60">
      <c r="A165" s="188" t="s">
        <v>61</v>
      </c>
      <c r="B165" s="173">
        <f>4!I6+6!I4+8!I7+'10'!I6+'11'!I5+'12'!I4+'13'!I13+'14'!I4+'15'!I4+'16(1)'!I7+'17'!I12+'18'!I9+'20'!I10+'21'!G4+'22'!G5+'26'!G9+'29(1)'!G5+'31'!G15+'32'!G4+'38'!G7+'39'!G6+'40'!G18+'55'!I10+'99'!I7+'128'!I6</f>
        <v>7.212392376917876</v>
      </c>
      <c r="C165" s="165" t="s">
        <v>1083</v>
      </c>
    </row>
    <row r="166" spans="1:3" ht="15">
      <c r="A166" s="121" t="s">
        <v>623</v>
      </c>
      <c r="B166" s="171">
        <f>'65'!I7</f>
        <v>-0.10071214285710539</v>
      </c>
      <c r="C166" s="164">
        <v>65</v>
      </c>
    </row>
    <row r="167" spans="1:3" ht="15">
      <c r="A167" s="121" t="s">
        <v>62</v>
      </c>
      <c r="B167" s="171">
        <f>5!I10+'24'!G8+'43'!G14</f>
        <v>0.31993872603135287</v>
      </c>
      <c r="C167" s="164" t="s">
        <v>439</v>
      </c>
    </row>
    <row r="168" spans="1:3" ht="15">
      <c r="A168" s="188" t="s">
        <v>740</v>
      </c>
      <c r="B168" s="171">
        <f>'80'!I17+'93'!I9+'98'!I12+'106'!I15+'119'!I16+'131'!I19+'144'!I17</f>
        <v>0.39240920486849973</v>
      </c>
      <c r="C168" s="164" t="s">
        <v>1222</v>
      </c>
    </row>
    <row r="169" spans="1:3" ht="15">
      <c r="A169" s="187" t="s">
        <v>871</v>
      </c>
      <c r="B169" s="174">
        <f>'98'!I11</f>
        <v>7.753732720989547</v>
      </c>
      <c r="C169" s="167">
        <v>98</v>
      </c>
    </row>
    <row r="170" spans="1:3" ht="15">
      <c r="A170" s="196" t="s">
        <v>1160</v>
      </c>
      <c r="B170" s="174">
        <f>'137'!I10</f>
        <v>3.3597122453804786</v>
      </c>
      <c r="C170" s="167">
        <v>137</v>
      </c>
    </row>
    <row r="171" spans="1:3" ht="15">
      <c r="A171" s="196" t="s">
        <v>937</v>
      </c>
      <c r="B171" s="170">
        <f>'110'!I6+'147'!I13</f>
        <v>-0.03754076137897755</v>
      </c>
      <c r="C171" s="163" t="s">
        <v>1248</v>
      </c>
    </row>
    <row r="172" spans="1:3" ht="15">
      <c r="A172" s="186" t="s">
        <v>629</v>
      </c>
      <c r="B172" s="170">
        <f>'66'!I10</f>
        <v>-0.4980801869158995</v>
      </c>
      <c r="C172" s="163">
        <v>66</v>
      </c>
    </row>
    <row r="173" spans="1:3" ht="15">
      <c r="A173" s="197" t="s">
        <v>63</v>
      </c>
      <c r="B173" s="170">
        <f>'20'!I16+'33'!G11+'42'!G7+'44'!G15+'45'!G10+'114'!I7</f>
        <v>-0.25291969207091825</v>
      </c>
      <c r="C173" s="163" t="s">
        <v>964</v>
      </c>
    </row>
    <row r="174" spans="1:3" ht="15">
      <c r="A174" s="189" t="s">
        <v>1059</v>
      </c>
      <c r="B174" s="170">
        <f>'125'!I14</f>
        <v>-0.2785210162004432</v>
      </c>
      <c r="C174" s="163">
        <v>125</v>
      </c>
    </row>
    <row r="175" spans="1:3" ht="15">
      <c r="A175" s="194" t="s">
        <v>406</v>
      </c>
      <c r="B175" s="173">
        <f>'40'!G5+'127'!I10+'143'!I9</f>
        <v>-32.14562424784776</v>
      </c>
      <c r="C175" s="165" t="s">
        <v>1210</v>
      </c>
    </row>
    <row r="176" spans="1:3" ht="15">
      <c r="A176" s="187" t="s">
        <v>1111</v>
      </c>
      <c r="B176" s="173">
        <f>'132'!I4</f>
        <v>-2.7202043085881655</v>
      </c>
      <c r="C176" s="165">
        <v>132</v>
      </c>
    </row>
    <row r="177" spans="1:3" ht="15">
      <c r="A177" s="188" t="s">
        <v>892</v>
      </c>
      <c r="B177" s="171">
        <f>'102'!I8</f>
        <v>-0.4105017922454408</v>
      </c>
      <c r="C177" s="164">
        <v>102</v>
      </c>
    </row>
    <row r="178" spans="1:3" ht="15">
      <c r="A178" s="188" t="s">
        <v>1030</v>
      </c>
      <c r="B178" s="171">
        <f>'122'!I12+'123'!I9+'125'!I19+'135'!I5</f>
        <v>2.2844564748478433</v>
      </c>
      <c r="C178" s="164" t="s">
        <v>1146</v>
      </c>
    </row>
    <row r="179" spans="1:3" ht="15">
      <c r="A179" s="188" t="s">
        <v>520</v>
      </c>
      <c r="B179" s="171">
        <f>'53'!H6</f>
        <v>0.23192791776432387</v>
      </c>
      <c r="C179" s="164">
        <v>53</v>
      </c>
    </row>
    <row r="180" spans="1:3" ht="15">
      <c r="A180" s="188" t="s">
        <v>64</v>
      </c>
      <c r="B180" s="171">
        <f>'15'!I10+'18'!I4</f>
        <v>1.9258538422906213</v>
      </c>
      <c r="C180" s="164" t="s">
        <v>65</v>
      </c>
    </row>
    <row r="181" spans="1:3" ht="15">
      <c r="A181" s="188" t="s">
        <v>66</v>
      </c>
      <c r="B181" s="171">
        <f>'17'!I8+'28'!G7</f>
        <v>0.8226967861533012</v>
      </c>
      <c r="C181" s="164" t="s">
        <v>67</v>
      </c>
    </row>
    <row r="182" spans="1:3" ht="15">
      <c r="A182" s="188" t="s">
        <v>1106</v>
      </c>
      <c r="B182" s="171">
        <f>'131'!I13</f>
        <v>1.9801769275363768</v>
      </c>
      <c r="C182" s="164">
        <v>131</v>
      </c>
    </row>
    <row r="183" spans="1:3" ht="15">
      <c r="A183" s="191" t="s">
        <v>68</v>
      </c>
      <c r="B183" s="171">
        <f>'29(2)'!G15</f>
        <v>-0.28377128352008185</v>
      </c>
      <c r="C183" s="164" t="s">
        <v>69</v>
      </c>
    </row>
    <row r="184" spans="1:3" ht="15">
      <c r="A184" s="191" t="s">
        <v>530</v>
      </c>
      <c r="B184" s="171">
        <f>'54'!I13</f>
        <v>0.4871589631651432</v>
      </c>
      <c r="C184" s="164">
        <v>54</v>
      </c>
    </row>
    <row r="185" spans="1:3" ht="15">
      <c r="A185" s="186" t="s">
        <v>70</v>
      </c>
      <c r="B185" s="171">
        <f>'17'!I10+'31'!G12+'33'!G18+'75'!I7</f>
        <v>0.4051732036039084</v>
      </c>
      <c r="C185" s="164" t="s">
        <v>717</v>
      </c>
    </row>
    <row r="186" spans="1:3" ht="15">
      <c r="A186" s="186" t="s">
        <v>944</v>
      </c>
      <c r="B186" s="171">
        <f>'112'!I6</f>
        <v>0.9596030075190356</v>
      </c>
      <c r="C186" s="164">
        <v>112</v>
      </c>
    </row>
    <row r="187" spans="1:3" ht="15">
      <c r="A187" s="186" t="s">
        <v>795</v>
      </c>
      <c r="B187" s="171">
        <f>'88'!I7</f>
        <v>0.42999747572798697</v>
      </c>
      <c r="C187" s="164">
        <v>88</v>
      </c>
    </row>
    <row r="188" spans="1:3" ht="15">
      <c r="A188" s="186" t="s">
        <v>857</v>
      </c>
      <c r="B188" s="171">
        <f>'97'!I4</f>
        <v>-0.17951760882192502</v>
      </c>
      <c r="C188" s="164">
        <v>97</v>
      </c>
    </row>
    <row r="189" spans="1:3" ht="15">
      <c r="A189" s="121" t="s">
        <v>71</v>
      </c>
      <c r="B189" s="171">
        <f>'30'!G4</f>
        <v>-0.008503497517267533</v>
      </c>
      <c r="C189" s="164">
        <v>30</v>
      </c>
    </row>
    <row r="190" spans="1:3" ht="15">
      <c r="A190" s="121" t="s">
        <v>464</v>
      </c>
      <c r="B190" s="171">
        <f>'47'!G8</f>
        <v>-0.49154464415141774</v>
      </c>
      <c r="C190" s="164">
        <v>47</v>
      </c>
    </row>
    <row r="191" spans="1:3" ht="15">
      <c r="A191" s="224" t="s">
        <v>1162</v>
      </c>
      <c r="B191" s="171">
        <f>'137'!I12+'139'!I14+'149'!I9</f>
        <v>81.53020572298533</v>
      </c>
      <c r="C191" s="164" t="s">
        <v>1281</v>
      </c>
    </row>
    <row r="192" spans="1:3" ht="15">
      <c r="A192" s="198" t="s">
        <v>1010</v>
      </c>
      <c r="B192" s="175">
        <f>'119'!I18</f>
        <v>61.20522875995448</v>
      </c>
      <c r="C192" s="164">
        <v>119</v>
      </c>
    </row>
    <row r="193" spans="1:3" ht="15">
      <c r="A193" s="197" t="s">
        <v>72</v>
      </c>
      <c r="B193" s="175">
        <f>'16(1)'!I13</f>
        <v>-0.838772261072279</v>
      </c>
      <c r="C193" s="166" t="s">
        <v>73</v>
      </c>
    </row>
    <row r="194" spans="1:3" ht="15">
      <c r="A194" s="197" t="s">
        <v>669</v>
      </c>
      <c r="B194" s="175">
        <f>'70'!I12</f>
        <v>0.28868200250303744</v>
      </c>
      <c r="C194" s="164">
        <v>70</v>
      </c>
    </row>
    <row r="195" spans="1:3" ht="15">
      <c r="A195" s="202" t="s">
        <v>738</v>
      </c>
      <c r="B195" s="171">
        <f>'80'!I13</f>
        <v>3.4840596190302904</v>
      </c>
      <c r="C195" s="164">
        <v>80</v>
      </c>
    </row>
    <row r="196" spans="1:3" ht="15">
      <c r="A196" s="192" t="s">
        <v>74</v>
      </c>
      <c r="B196" s="171">
        <f>'14'!I19+'124'!I6+'136'!I6</f>
        <v>10.7268607084319</v>
      </c>
      <c r="C196" s="164" t="s">
        <v>1152</v>
      </c>
    </row>
    <row r="197" spans="1:3" ht="15">
      <c r="A197" s="192" t="s">
        <v>601</v>
      </c>
      <c r="B197" s="171">
        <f>'62'!I16+'78'!I9+'95'!I12</f>
        <v>85.56637370524845</v>
      </c>
      <c r="C197" s="164" t="s">
        <v>852</v>
      </c>
    </row>
    <row r="198" spans="1:3" ht="15">
      <c r="A198" s="202" t="s">
        <v>75</v>
      </c>
      <c r="B198" s="171">
        <f>'10'!I11+'31'!G10+'125'!I5+'126'!I5+'140'!I8</f>
        <v>-7.63137516015837</v>
      </c>
      <c r="C198" s="164" t="s">
        <v>1188</v>
      </c>
    </row>
    <row r="199" spans="1:3" ht="30">
      <c r="A199" s="192" t="s">
        <v>882</v>
      </c>
      <c r="B199" s="171">
        <f>'101'!I5+'106'!I12+'109'!I7+'112'!I4+'116'!I5+'132'!I7+'133'!I6+'136'!I13</f>
        <v>45.758017327777</v>
      </c>
      <c r="C199" s="164" t="s">
        <v>1153</v>
      </c>
    </row>
    <row r="200" spans="1:3" ht="15">
      <c r="A200" s="192" t="s">
        <v>76</v>
      </c>
      <c r="B200" s="171">
        <f>'13'!I15+'20'!I12+'22'!G12</f>
        <v>2.8479483632311258</v>
      </c>
      <c r="C200" s="164" t="s">
        <v>77</v>
      </c>
    </row>
    <row r="201" spans="1:3" ht="15">
      <c r="A201" s="192" t="s">
        <v>494</v>
      </c>
      <c r="B201" s="171">
        <f>'50'!H11+'51'!H10+'53'!H10+'71'!I5</f>
        <v>0.14013661978242453</v>
      </c>
      <c r="C201" s="164" t="s">
        <v>676</v>
      </c>
    </row>
    <row r="202" spans="1:3" ht="15">
      <c r="A202" s="192" t="s">
        <v>1067</v>
      </c>
      <c r="B202" s="171">
        <f>'126'!I6</f>
        <v>-0.4390763029637128</v>
      </c>
      <c r="C202" s="164">
        <v>126</v>
      </c>
    </row>
    <row r="203" spans="1:3" ht="15">
      <c r="A203" s="186" t="s">
        <v>78</v>
      </c>
      <c r="B203" s="171">
        <f>'18'!I14</f>
        <v>-0.4312802534318507</v>
      </c>
      <c r="C203" s="164">
        <v>18</v>
      </c>
    </row>
    <row r="204" spans="1:3" ht="15">
      <c r="A204" s="186" t="s">
        <v>647</v>
      </c>
      <c r="B204" s="171">
        <f>'67'!I13+'73'!I5</f>
        <v>0.32078178079495956</v>
      </c>
      <c r="C204" s="164" t="s">
        <v>699</v>
      </c>
    </row>
    <row r="205" spans="1:3" ht="15">
      <c r="A205" s="211" t="s">
        <v>1206</v>
      </c>
      <c r="B205" s="171">
        <f>'143'!I15+'144'!I4+'151'!I9</f>
        <v>-2099.011650404121</v>
      </c>
      <c r="C205" s="164" t="s">
        <v>1302</v>
      </c>
    </row>
    <row r="206" spans="1:3" ht="15">
      <c r="A206" s="187" t="s">
        <v>1244</v>
      </c>
      <c r="B206" s="171">
        <f>'147'!I18</f>
        <v>7.271805828759625</v>
      </c>
      <c r="C206" s="164">
        <v>147</v>
      </c>
    </row>
    <row r="207" spans="1:3" ht="15">
      <c r="A207" s="186" t="s">
        <v>489</v>
      </c>
      <c r="B207" s="171">
        <f>'50'!H6</f>
        <v>-0.24607687331229045</v>
      </c>
      <c r="C207" s="164">
        <v>50</v>
      </c>
    </row>
    <row r="208" spans="1:3" ht="15">
      <c r="A208" s="186" t="s">
        <v>79</v>
      </c>
      <c r="B208" s="171">
        <f>'31'!G17+'51'!H8+'70'!I6</f>
        <v>1.828244467162449</v>
      </c>
      <c r="C208" s="164" t="s">
        <v>672</v>
      </c>
    </row>
    <row r="209" spans="1:3" ht="15">
      <c r="A209" s="186" t="s">
        <v>80</v>
      </c>
      <c r="B209" s="171">
        <f>'21'!G13</f>
        <v>0.3739248004119986</v>
      </c>
      <c r="C209" s="164">
        <v>21</v>
      </c>
    </row>
    <row r="210" spans="1:3" ht="15">
      <c r="A210" s="186" t="s">
        <v>571</v>
      </c>
      <c r="B210" s="171">
        <f>'59'!I15+'60'!I18</f>
        <v>0.3603045019796127</v>
      </c>
      <c r="C210" s="164" t="s">
        <v>583</v>
      </c>
    </row>
    <row r="211" spans="1:3" ht="15">
      <c r="A211" s="186" t="s">
        <v>549</v>
      </c>
      <c r="B211" s="171">
        <f>'57'!I6+'60'!I20+'87'!I10</f>
        <v>6.216436883630649</v>
      </c>
      <c r="C211" s="164" t="s">
        <v>792</v>
      </c>
    </row>
    <row r="212" spans="1:3" ht="15">
      <c r="A212" s="186" t="s">
        <v>759</v>
      </c>
      <c r="B212" s="171">
        <f>'82'!I5</f>
        <v>7.5758585080147895</v>
      </c>
      <c r="C212" s="164">
        <v>82</v>
      </c>
    </row>
    <row r="213" spans="1:3" ht="15">
      <c r="A213" s="186" t="s">
        <v>81</v>
      </c>
      <c r="B213" s="171">
        <f>'10'!I10</f>
        <v>1.4810559172731246</v>
      </c>
      <c r="C213" s="164">
        <v>10</v>
      </c>
    </row>
    <row r="214" spans="1:3" ht="15">
      <c r="A214" s="186" t="s">
        <v>427</v>
      </c>
      <c r="B214" s="171">
        <f>'43'!G13</f>
        <v>0.646448962712725</v>
      </c>
      <c r="C214" s="164">
        <v>43</v>
      </c>
    </row>
    <row r="215" spans="1:3" ht="15">
      <c r="A215" s="190" t="s">
        <v>82</v>
      </c>
      <c r="B215" s="171">
        <f>7!I8+'10'!I8+'15'!I6+'19'!I16</f>
        <v>0.15245603827096943</v>
      </c>
      <c r="C215" s="164" t="s">
        <v>83</v>
      </c>
    </row>
    <row r="216" spans="1:3" ht="15">
      <c r="A216" s="187" t="s">
        <v>662</v>
      </c>
      <c r="B216" s="171">
        <f>'69'!I8+'105'!I4+'125'!I18+'129'!I13+'134'!I12</f>
        <v>79.73376758361508</v>
      </c>
      <c r="C216" s="164" t="s">
        <v>1134</v>
      </c>
    </row>
    <row r="217" spans="1:3" ht="15">
      <c r="A217" s="121" t="s">
        <v>84</v>
      </c>
      <c r="B217" s="171">
        <f>'14'!I10+'16(1)'!I6+'17'!I7+'23'!G6</f>
        <v>1.2452742754297788</v>
      </c>
      <c r="C217" s="164" t="s">
        <v>85</v>
      </c>
    </row>
    <row r="218" spans="1:3" ht="15">
      <c r="A218" s="186" t="s">
        <v>521</v>
      </c>
      <c r="B218" s="171">
        <f>'53'!H8</f>
        <v>-0.4393068002801783</v>
      </c>
      <c r="C218" s="164">
        <v>53</v>
      </c>
    </row>
    <row r="219" spans="1:3" ht="15">
      <c r="A219" s="186" t="s">
        <v>86</v>
      </c>
      <c r="B219" s="171">
        <f>'24'!G11+'61'!I6</f>
        <v>47.80501750630725</v>
      </c>
      <c r="C219" s="166" t="s">
        <v>593</v>
      </c>
    </row>
    <row r="220" spans="1:3" ht="15">
      <c r="A220" s="186" t="s">
        <v>665</v>
      </c>
      <c r="B220" s="171">
        <f>'70'!I4</f>
        <v>0.03548966207745252</v>
      </c>
      <c r="C220" s="166">
        <v>70</v>
      </c>
    </row>
    <row r="221" spans="1:3" ht="15">
      <c r="A221" s="187" t="s">
        <v>87</v>
      </c>
      <c r="B221" s="171">
        <f>'16(1)'!I4+'29(2)'!G12+'144'!I10</f>
        <v>0.17032478770164516</v>
      </c>
      <c r="C221" s="166" t="s">
        <v>1221</v>
      </c>
    </row>
    <row r="222" spans="1:3" ht="15">
      <c r="A222" s="186" t="s">
        <v>446</v>
      </c>
      <c r="B222" s="171">
        <f>'45'!G5</f>
        <v>0.24381455290460963</v>
      </c>
      <c r="C222" s="166">
        <v>45</v>
      </c>
    </row>
    <row r="223" spans="1:3" ht="15">
      <c r="A223" s="211" t="s">
        <v>1257</v>
      </c>
      <c r="B223" s="171">
        <f>'148'!I11+'149'!I6+'151'!I7</f>
        <v>-749.6055285977111</v>
      </c>
      <c r="C223" s="164" t="s">
        <v>1301</v>
      </c>
    </row>
    <row r="224" spans="1:3" ht="15">
      <c r="A224" s="187" t="s">
        <v>1081</v>
      </c>
      <c r="B224" s="171">
        <f>'128'!I9+'145'!I5</f>
        <v>10.666881037020488</v>
      </c>
      <c r="C224" s="164" t="s">
        <v>1230</v>
      </c>
    </row>
    <row r="225" spans="1:3" ht="15">
      <c r="A225" s="211" t="s">
        <v>1229</v>
      </c>
      <c r="B225" s="171">
        <f>'145'!I13+'151'!I15</f>
        <v>-538.1548542817163</v>
      </c>
      <c r="C225" s="164" t="s">
        <v>1300</v>
      </c>
    </row>
    <row r="226" spans="1:3" ht="15">
      <c r="A226" s="218" t="s">
        <v>1277</v>
      </c>
      <c r="B226" s="171">
        <f>'150'!I12</f>
        <v>-5.220129440353503</v>
      </c>
      <c r="C226" s="164">
        <v>150</v>
      </c>
    </row>
    <row r="227" spans="1:3" ht="15">
      <c r="A227" s="218" t="s">
        <v>728</v>
      </c>
      <c r="B227" s="171">
        <f>'78'!I13+'80'!I7</f>
        <v>0.6728613535310046</v>
      </c>
      <c r="C227" s="166" t="s">
        <v>741</v>
      </c>
    </row>
    <row r="228" spans="1:3" ht="15">
      <c r="A228" s="213" t="s">
        <v>838</v>
      </c>
      <c r="B228" s="171">
        <f>'93'!I4+'104'!I11</f>
        <v>5.500494982125872</v>
      </c>
      <c r="C228" s="166" t="s">
        <v>902</v>
      </c>
    </row>
    <row r="229" spans="1:3" ht="15">
      <c r="A229" s="213" t="s">
        <v>782</v>
      </c>
      <c r="B229" s="171">
        <f>'86'!I11</f>
        <v>23.143166666666616</v>
      </c>
      <c r="C229" s="166">
        <v>86</v>
      </c>
    </row>
    <row r="230" spans="1:3" ht="15">
      <c r="A230" s="219" t="s">
        <v>1026</v>
      </c>
      <c r="B230" s="171">
        <f>'122'!I6</f>
        <v>-3.981864438202365</v>
      </c>
      <c r="C230" s="164">
        <v>122</v>
      </c>
    </row>
    <row r="231" spans="1:3" ht="15">
      <c r="A231" s="220" t="s">
        <v>991</v>
      </c>
      <c r="B231" s="176">
        <f>'117'!I14+'127'!I7</f>
        <v>0.37296174701123164</v>
      </c>
      <c r="C231" s="168" t="s">
        <v>1076</v>
      </c>
    </row>
    <row r="232" spans="1:3" ht="15">
      <c r="A232" s="215" t="s">
        <v>1127</v>
      </c>
      <c r="B232" s="170">
        <f>'134'!I6+'136'!I18+'137'!I14+'138'!I11+'147'!I17</f>
        <v>-0.34976952621872215</v>
      </c>
      <c r="C232" s="163" t="s">
        <v>1249</v>
      </c>
    </row>
    <row r="233" spans="1:3" ht="15">
      <c r="A233" s="197" t="s">
        <v>88</v>
      </c>
      <c r="B233" s="170">
        <f>2!I10</f>
        <v>-0.3856628318582125</v>
      </c>
      <c r="C233" s="163">
        <v>2</v>
      </c>
    </row>
    <row r="234" spans="1:3" ht="15">
      <c r="A234" s="197" t="s">
        <v>417</v>
      </c>
      <c r="B234" s="170">
        <f>'41'!G13</f>
        <v>-0.41171375443309444</v>
      </c>
      <c r="C234" s="163">
        <v>41</v>
      </c>
    </row>
    <row r="235" spans="1:3" ht="15">
      <c r="A235" s="197" t="s">
        <v>89</v>
      </c>
      <c r="B235" s="170">
        <f>'26'!G10+'27'!G13+'28'!G10+'29(1)'!G12+'31'!G11</f>
        <v>5.168956044584547</v>
      </c>
      <c r="C235" s="163" t="s">
        <v>90</v>
      </c>
    </row>
    <row r="236" spans="1:3" ht="15">
      <c r="A236" s="207" t="s">
        <v>998</v>
      </c>
      <c r="B236" s="170">
        <f>'118'!I8+'134'!I14+'151'!I8</f>
        <v>-850.036562347845</v>
      </c>
      <c r="C236" s="163" t="s">
        <v>1299</v>
      </c>
    </row>
    <row r="237" spans="1:3" ht="15">
      <c r="A237" s="198" t="s">
        <v>982</v>
      </c>
      <c r="B237" s="170">
        <f>'117'!I8+'119'!I12</f>
        <v>19.66197328791293</v>
      </c>
      <c r="C237" s="163" t="s">
        <v>1014</v>
      </c>
    </row>
    <row r="238" spans="1:3" ht="15">
      <c r="A238" s="197" t="s">
        <v>91</v>
      </c>
      <c r="B238" s="170">
        <f>'33'!G6+'34'!G4+'37'!G4+'40'!G6+'47'!G12+'61'!I12+'63'!I6</f>
        <v>0.4658477146278983</v>
      </c>
      <c r="C238" s="163" t="s">
        <v>610</v>
      </c>
    </row>
    <row r="239" spans="1:3" ht="15">
      <c r="A239" s="225" t="s">
        <v>525</v>
      </c>
      <c r="B239" s="170">
        <f>'54'!I6+'69'!I12+'71'!I4+'132'!I12</f>
        <v>31.99520745157986</v>
      </c>
      <c r="C239" s="163" t="s">
        <v>1116</v>
      </c>
    </row>
    <row r="240" spans="1:3" ht="15">
      <c r="A240" s="198" t="s">
        <v>1055</v>
      </c>
      <c r="B240" s="177">
        <f>'125'!I9</f>
        <v>0.2112070765831504</v>
      </c>
      <c r="C240" s="163">
        <v>125</v>
      </c>
    </row>
    <row r="241" spans="1:3" ht="15">
      <c r="A241" s="198" t="s">
        <v>92</v>
      </c>
      <c r="B241" s="170">
        <f>'33'!G15+'34'!G9</f>
        <v>0.02674281241212384</v>
      </c>
      <c r="C241" s="163" t="s">
        <v>93</v>
      </c>
    </row>
    <row r="242" spans="1:3" ht="15">
      <c r="A242" s="209" t="s">
        <v>1234</v>
      </c>
      <c r="B242" s="170">
        <f>'146'!I7+'147'!I6</f>
        <v>0.6948614784520828</v>
      </c>
      <c r="C242" s="163" t="s">
        <v>1250</v>
      </c>
    </row>
    <row r="243" spans="1:3" ht="15">
      <c r="A243" s="226" t="s">
        <v>780</v>
      </c>
      <c r="B243" s="170">
        <f>'86'!I6+'87'!I12+'123'!I7+'126'!I8+'136'!I5</f>
        <v>-4.852383321328659</v>
      </c>
      <c r="C243" s="163" t="s">
        <v>1154</v>
      </c>
    </row>
    <row r="244" spans="1:3" ht="15">
      <c r="A244" s="198" t="s">
        <v>800</v>
      </c>
      <c r="B244" s="170">
        <f>'89'!I13</f>
        <v>0.41972364088383074</v>
      </c>
      <c r="C244" s="163">
        <v>89</v>
      </c>
    </row>
    <row r="245" spans="1:3" ht="15">
      <c r="A245" s="198" t="s">
        <v>94</v>
      </c>
      <c r="B245" s="170">
        <f>'18'!I13+'19'!I9+'103'!I10+'105'!I10+'111'!I4</f>
        <v>4.599822891349049</v>
      </c>
      <c r="C245" s="163" t="s">
        <v>941</v>
      </c>
    </row>
    <row r="246" spans="1:3" ht="45">
      <c r="A246" s="209" t="s">
        <v>95</v>
      </c>
      <c r="B246" s="170">
        <f>'12'!I13+'16(2)'!I6+'18'!I11+'19'!I17+'28'!G9+'29(1)'!G7+'34'!G12+'38'!G6+'39'!G10+'40'!G9+'41'!G11+'45'!G8+'52'!H4+'57'!I5+'78'!I8+'85'!I4+'102'!I12+'116'!I11+'124'!I7+'136'!I17+'140'!I9</f>
        <v>19.247765021056637</v>
      </c>
      <c r="C246" s="163" t="s">
        <v>1187</v>
      </c>
    </row>
    <row r="247" spans="1:3" ht="30">
      <c r="A247" s="208" t="s">
        <v>96</v>
      </c>
      <c r="B247" s="170">
        <f>8!I6+'19'!I12+'20'!I4+'40'!G16+'60'!I6+'127'!I11+'130'!I10+'150'!I14+'151'!I4</f>
        <v>-426.39560240120875</v>
      </c>
      <c r="C247" s="163" t="s">
        <v>1298</v>
      </c>
    </row>
    <row r="248" spans="1:3" ht="15">
      <c r="A248" s="215" t="s">
        <v>1150</v>
      </c>
      <c r="B248" s="170">
        <f>'136'!I14+'139'!I17+'140'!I10+'143'!I8+'150'!I10</f>
        <v>0.1369406724726332</v>
      </c>
      <c r="C248" s="163" t="s">
        <v>1282</v>
      </c>
    </row>
    <row r="249" spans="1:3" ht="15">
      <c r="A249" s="197" t="s">
        <v>985</v>
      </c>
      <c r="B249" s="170">
        <f>'121'!I5</f>
        <v>0.5275974523228797</v>
      </c>
      <c r="C249" s="163">
        <v>121</v>
      </c>
    </row>
    <row r="250" spans="1:3" ht="15">
      <c r="A250" s="185" t="s">
        <v>492</v>
      </c>
      <c r="B250" s="170">
        <f>'50'!H9+'141'!I11</f>
        <v>0.09203205410472037</v>
      </c>
      <c r="C250" s="163" t="s">
        <v>1197</v>
      </c>
    </row>
    <row r="251" spans="1:3" ht="15">
      <c r="A251" s="185" t="s">
        <v>580</v>
      </c>
      <c r="B251" s="170">
        <f>'60'!I21+'94'!I7+'97'!I5+'114'!I14+'119'!I17+'131'!I16+'146'!I8</f>
        <v>-7.378016328905403</v>
      </c>
      <c r="C251" s="163" t="s">
        <v>1239</v>
      </c>
    </row>
    <row r="252" spans="1:3" ht="30">
      <c r="A252" s="197" t="s">
        <v>97</v>
      </c>
      <c r="B252" s="170">
        <f>'25'!G18+'27'!G12+'29(2)'!G18+'31'!G14+'33'!G4+'36'!G12+'39'!G5+'44'!G14+'48'!G9+'60'!I10</f>
        <v>-0.050709700096888355</v>
      </c>
      <c r="C252" s="163" t="s">
        <v>582</v>
      </c>
    </row>
    <row r="253" spans="1:3" ht="15">
      <c r="A253" s="185" t="s">
        <v>1129</v>
      </c>
      <c r="B253" s="170">
        <f>'134'!I10+'142'!I4</f>
        <v>-21.615359756349108</v>
      </c>
      <c r="C253" s="163" t="s">
        <v>1203</v>
      </c>
    </row>
    <row r="254" spans="1:3" ht="15">
      <c r="A254" s="197" t="s">
        <v>737</v>
      </c>
      <c r="B254" s="170">
        <f>'80'!I8</f>
        <v>-2.3357553809696583</v>
      </c>
      <c r="C254" s="163">
        <v>80</v>
      </c>
    </row>
    <row r="255" spans="1:3" ht="15">
      <c r="A255" s="197" t="s">
        <v>493</v>
      </c>
      <c r="B255" s="170">
        <f>'50'!H10+'65'!I5</f>
        <v>-0.1057691580942901</v>
      </c>
      <c r="C255" s="163" t="s">
        <v>626</v>
      </c>
    </row>
    <row r="256" spans="1:3" ht="15">
      <c r="A256" s="197" t="s">
        <v>586</v>
      </c>
      <c r="B256" s="170">
        <f>'61'!I9+'63'!I16+'64'!I5</f>
        <v>0.016349170954981673</v>
      </c>
      <c r="C256" s="163" t="s">
        <v>620</v>
      </c>
    </row>
    <row r="257" spans="1:3" ht="15">
      <c r="A257" s="197" t="s">
        <v>537</v>
      </c>
      <c r="B257" s="170">
        <f>'55'!I6</f>
        <v>0.3086153169469412</v>
      </c>
      <c r="C257" s="163">
        <v>55</v>
      </c>
    </row>
    <row r="258" spans="1:3" ht="15">
      <c r="A258" s="197" t="s">
        <v>98</v>
      </c>
      <c r="B258" s="170">
        <f>'37'!G10</f>
        <v>0.07171679028988365</v>
      </c>
      <c r="C258" s="163">
        <v>37</v>
      </c>
    </row>
    <row r="259" spans="1:3" ht="15">
      <c r="A259" s="197" t="s">
        <v>475</v>
      </c>
      <c r="B259" s="170">
        <f>'48'!G8</f>
        <v>-0.010499617243226567</v>
      </c>
      <c r="C259" s="163">
        <v>48</v>
      </c>
    </row>
    <row r="260" spans="1:3" ht="15">
      <c r="A260" s="197" t="s">
        <v>99</v>
      </c>
      <c r="B260" s="170">
        <f>2!I4+7!I9+'20'!I7+'36'!G8</f>
        <v>6.691978610674255</v>
      </c>
      <c r="C260" s="163" t="s">
        <v>100</v>
      </c>
    </row>
    <row r="261" spans="1:3" ht="15">
      <c r="A261" s="185" t="s">
        <v>598</v>
      </c>
      <c r="B261" s="170">
        <f>'62'!I10+'138'!I13</f>
        <v>3.782009133566362</v>
      </c>
      <c r="C261" s="163" t="s">
        <v>1171</v>
      </c>
    </row>
    <row r="262" spans="1:3" ht="15">
      <c r="A262" s="197" t="s">
        <v>101</v>
      </c>
      <c r="B262" s="170">
        <f>'35'!G8</f>
        <v>-0.3058886150813578</v>
      </c>
      <c r="C262" s="163">
        <v>34</v>
      </c>
    </row>
    <row r="263" spans="1:3" ht="15">
      <c r="A263" s="197" t="s">
        <v>496</v>
      </c>
      <c r="B263" s="170">
        <f>'50'!H14+'107'!I8</f>
        <v>-0.013923862895580896</v>
      </c>
      <c r="C263" s="163" t="s">
        <v>925</v>
      </c>
    </row>
    <row r="264" spans="1:3" ht="30">
      <c r="A264" s="197" t="s">
        <v>512</v>
      </c>
      <c r="B264" s="170">
        <f>'52'!H10+'53'!H7+'54'!I17+'60'!I16+'69'!I9+'85'!I9+'89'!I14+'110'!I10+'121'!I11+'136'!I15</f>
        <v>-33.472070804706846</v>
      </c>
      <c r="C264" s="163" t="s">
        <v>1155</v>
      </c>
    </row>
    <row r="265" spans="1:3" ht="15">
      <c r="A265" s="197" t="s">
        <v>651</v>
      </c>
      <c r="B265" s="170">
        <f>'68'!I6+'69'!I4</f>
        <v>4.394107887508085</v>
      </c>
      <c r="C265" s="163" t="s">
        <v>661</v>
      </c>
    </row>
    <row r="266" spans="1:3" ht="30">
      <c r="A266" s="185" t="s">
        <v>102</v>
      </c>
      <c r="B266" s="170">
        <f>'21'!G6+'22'!G8+'25'!G6+'63'!I14+'67'!I11+'77'!I10+'90'!I5+'102'!I10+'104'!I5+'117'!I17+'122'!I5+'144'!I5</f>
        <v>-10.57172868366439</v>
      </c>
      <c r="C266" s="163" t="s">
        <v>1220</v>
      </c>
    </row>
    <row r="267" spans="1:3" ht="15">
      <c r="A267" s="197" t="s">
        <v>750</v>
      </c>
      <c r="B267" s="170">
        <f>'81'!I10</f>
        <v>6.081244136947191</v>
      </c>
      <c r="C267" s="163">
        <v>81</v>
      </c>
    </row>
    <row r="268" spans="1:3" ht="15">
      <c r="A268" s="198" t="s">
        <v>1005</v>
      </c>
      <c r="B268" s="170">
        <f>'29(2)'!G7+'33'!G8+'34'!G6+'44'!G4+'119'!I6</f>
        <v>2.4604108231776536</v>
      </c>
      <c r="C268" s="163" t="s">
        <v>1015</v>
      </c>
    </row>
    <row r="269" spans="1:3" ht="15">
      <c r="A269" s="217" t="s">
        <v>104</v>
      </c>
      <c r="B269" s="170">
        <f>'31'!G13</f>
        <v>5.19137691763035</v>
      </c>
      <c r="C269" s="163">
        <v>31</v>
      </c>
    </row>
    <row r="270" spans="1:3" ht="15">
      <c r="A270" s="215" t="s">
        <v>1088</v>
      </c>
      <c r="B270" s="170">
        <f>'129'!I10+'149'!I8</f>
        <v>1.5805715434852345</v>
      </c>
      <c r="C270" s="163" t="s">
        <v>1283</v>
      </c>
    </row>
    <row r="271" spans="1:3" ht="15">
      <c r="A271" s="217" t="s">
        <v>105</v>
      </c>
      <c r="B271" s="170">
        <f>'16(2)'!I12+'17'!I6</f>
        <v>-0.311962541435463</v>
      </c>
      <c r="C271" s="163" t="s">
        <v>106</v>
      </c>
    </row>
    <row r="272" spans="1:3" ht="15">
      <c r="A272" s="217" t="s">
        <v>107</v>
      </c>
      <c r="B272" s="170">
        <f>'25'!G7</f>
        <v>2.1435862323229458</v>
      </c>
      <c r="C272" s="163">
        <v>25</v>
      </c>
    </row>
    <row r="273" spans="1:3" ht="15">
      <c r="A273" s="215" t="s">
        <v>508</v>
      </c>
      <c r="B273" s="170">
        <f>'52'!H5+'54'!I8+'116'!I8+'148'!I6</f>
        <v>-1.3049090866165152</v>
      </c>
      <c r="C273" s="163" t="s">
        <v>1267</v>
      </c>
    </row>
    <row r="274" spans="1:3" ht="15">
      <c r="A274" s="198" t="s">
        <v>976</v>
      </c>
      <c r="B274" s="170">
        <f>'116'!I15+'117'!I5</f>
        <v>-6.040206904057584</v>
      </c>
      <c r="C274" s="163" t="s">
        <v>994</v>
      </c>
    </row>
    <row r="275" spans="1:3" ht="15">
      <c r="A275" s="197" t="s">
        <v>682</v>
      </c>
      <c r="B275" s="170">
        <f>'72'!I6</f>
        <v>8.000224019370307</v>
      </c>
      <c r="C275" s="163">
        <v>72</v>
      </c>
    </row>
    <row r="276" spans="1:3" ht="15">
      <c r="A276" s="197" t="s">
        <v>632</v>
      </c>
      <c r="B276" s="170">
        <f>'66'!I13</f>
        <v>-0.2575584112149727</v>
      </c>
      <c r="C276" s="163">
        <v>66</v>
      </c>
    </row>
    <row r="277" spans="1:3" ht="15">
      <c r="A277" s="185" t="s">
        <v>760</v>
      </c>
      <c r="B277" s="170">
        <f>'82'!I9+'90'!I6+'92'!I4+'108'!I6+'138'!I6</f>
        <v>-13.207506795097515</v>
      </c>
      <c r="C277" s="163" t="s">
        <v>1172</v>
      </c>
    </row>
    <row r="278" spans="1:3" ht="15">
      <c r="A278" s="182" t="s">
        <v>1060</v>
      </c>
      <c r="B278" s="170">
        <f>'125'!I15+'126'!I12+'143'!I11+'146'!I14</f>
        <v>-44.27149500639257</v>
      </c>
      <c r="C278" s="163" t="s">
        <v>1238</v>
      </c>
    </row>
    <row r="279" spans="1:3" ht="15">
      <c r="A279" s="185" t="s">
        <v>794</v>
      </c>
      <c r="B279" s="170">
        <f>'88'!I6</f>
        <v>0.18762378640781208</v>
      </c>
      <c r="C279" s="163">
        <v>88</v>
      </c>
    </row>
    <row r="280" spans="1:3" ht="15">
      <c r="A280" s="185" t="s">
        <v>1070</v>
      </c>
      <c r="B280" s="170">
        <f>'126'!I15+'128'!I10</f>
        <v>0.4437897687341774</v>
      </c>
      <c r="C280" s="163" t="s">
        <v>1084</v>
      </c>
    </row>
    <row r="281" spans="1:3" ht="15">
      <c r="A281" s="197" t="s">
        <v>108</v>
      </c>
      <c r="B281" s="170">
        <f>'24'!G10</f>
        <v>0.16717291115014632</v>
      </c>
      <c r="C281" s="163">
        <v>24</v>
      </c>
    </row>
    <row r="282" spans="1:3" ht="15">
      <c r="A282" s="197" t="s">
        <v>703</v>
      </c>
      <c r="B282" s="170">
        <f>'74'!I4</f>
        <v>0.46479849785373517</v>
      </c>
      <c r="C282" s="163">
        <v>74</v>
      </c>
    </row>
    <row r="283" spans="1:3" ht="15">
      <c r="A283" s="197" t="s">
        <v>109</v>
      </c>
      <c r="B283" s="170">
        <f>'16(1)'!I9+'19'!I19+'41'!G14+'42'!G4+'43'!G6+'75'!I6</f>
        <v>-0.025754919339533444</v>
      </c>
      <c r="C283" s="163" t="s">
        <v>716</v>
      </c>
    </row>
    <row r="284" spans="1:3" ht="15">
      <c r="A284" s="197" t="s">
        <v>110</v>
      </c>
      <c r="B284" s="170">
        <f>'28'!G14</f>
        <v>6.849864620938206</v>
      </c>
      <c r="C284" s="163">
        <v>28</v>
      </c>
    </row>
    <row r="285" spans="1:3" ht="15">
      <c r="A285" s="197" t="s">
        <v>110</v>
      </c>
      <c r="B285" s="170">
        <f>'36'!G5</f>
        <v>8.217451777786096</v>
      </c>
      <c r="C285" s="163">
        <v>36</v>
      </c>
    </row>
    <row r="286" spans="1:3" ht="15">
      <c r="A286" s="197" t="s">
        <v>448</v>
      </c>
      <c r="B286" s="170">
        <f>'45'!G12</f>
        <v>-0.016825986385356373</v>
      </c>
      <c r="C286" s="163">
        <v>45</v>
      </c>
    </row>
    <row r="287" spans="1:3" ht="15">
      <c r="A287" s="185" t="s">
        <v>318</v>
      </c>
      <c r="B287" s="170">
        <f>'11'!I9+'12'!I9+'25'!G17+'47'!G14+'138'!I4</f>
        <v>-0.46016868522576715</v>
      </c>
      <c r="C287" s="163" t="s">
        <v>1173</v>
      </c>
    </row>
    <row r="288" spans="1:3" ht="15">
      <c r="A288" s="197" t="s">
        <v>515</v>
      </c>
      <c r="B288" s="170">
        <f>'52'!H15+'93'!I7</f>
        <v>-0.42602167242421274</v>
      </c>
      <c r="C288" s="163" t="s">
        <v>840</v>
      </c>
    </row>
    <row r="289" spans="1:3" ht="15">
      <c r="A289" s="197" t="s">
        <v>430</v>
      </c>
      <c r="B289" s="170">
        <f>'43'!G4+'55'!I14+'71'!I11</f>
        <v>-3.9182410674770836</v>
      </c>
      <c r="C289" s="163" t="s">
        <v>678</v>
      </c>
    </row>
    <row r="290" spans="1:3" ht="15">
      <c r="A290" s="197" t="s">
        <v>624</v>
      </c>
      <c r="B290" s="170">
        <f>'65'!I12</f>
        <v>10.04398428571426</v>
      </c>
      <c r="C290" s="163">
        <v>65</v>
      </c>
    </row>
    <row r="291" spans="1:3" ht="15">
      <c r="A291" s="215" t="s">
        <v>1276</v>
      </c>
      <c r="B291" s="170">
        <f>'150'!I7</f>
        <v>1.7669094256261815</v>
      </c>
      <c r="C291" s="163">
        <v>150</v>
      </c>
    </row>
    <row r="292" spans="1:3" ht="15">
      <c r="A292" s="197" t="s">
        <v>720</v>
      </c>
      <c r="B292" s="170">
        <f>'76'!I11</f>
        <v>-0.48678629032247045</v>
      </c>
      <c r="C292" s="163">
        <v>76</v>
      </c>
    </row>
    <row r="293" spans="1:3" ht="15">
      <c r="A293" s="121" t="s">
        <v>112</v>
      </c>
      <c r="B293" s="170">
        <f>'14'!I15+'43'!G7</f>
        <v>0.3864277155292939</v>
      </c>
      <c r="C293" s="163" t="s">
        <v>438</v>
      </c>
    </row>
    <row r="294" spans="1:3" ht="15">
      <c r="A294" s="121" t="s">
        <v>113</v>
      </c>
      <c r="B294" s="170">
        <f>'30'!G9</f>
        <v>-12.55616773585598</v>
      </c>
      <c r="C294" s="163">
        <v>30</v>
      </c>
    </row>
    <row r="295" spans="1:3" ht="15">
      <c r="A295" s="189" t="s">
        <v>597</v>
      </c>
      <c r="B295" s="170">
        <f>'62'!I8+'72'!I14+'125'!I7</f>
        <v>6.108872563897876</v>
      </c>
      <c r="C295" s="163" t="s">
        <v>1063</v>
      </c>
    </row>
    <row r="296" spans="1:3" ht="15">
      <c r="A296" s="121" t="s">
        <v>869</v>
      </c>
      <c r="B296" s="170">
        <f>'98'!I5</f>
        <v>10.21808723899585</v>
      </c>
      <c r="C296" s="163">
        <v>98</v>
      </c>
    </row>
    <row r="297" spans="1:3" ht="15">
      <c r="A297" s="121" t="s">
        <v>797</v>
      </c>
      <c r="B297" s="170">
        <f>'88'!I11</f>
        <v>-8.458834951456197</v>
      </c>
      <c r="C297" s="163">
        <v>88</v>
      </c>
    </row>
    <row r="298" spans="1:3" ht="15">
      <c r="A298" s="121" t="s">
        <v>114</v>
      </c>
      <c r="B298" s="170">
        <f>'16(2)'!I7</f>
        <v>-0.7833620900073583</v>
      </c>
      <c r="C298" s="163" t="s">
        <v>31</v>
      </c>
    </row>
    <row r="299" spans="1:3" ht="15">
      <c r="A299" s="121" t="s">
        <v>908</v>
      </c>
      <c r="B299" s="170">
        <f>'105'!I12</f>
        <v>0.40989040603665217</v>
      </c>
      <c r="C299" s="163">
        <v>105</v>
      </c>
    </row>
    <row r="300" spans="1:3" ht="15">
      <c r="A300" s="121" t="s">
        <v>559</v>
      </c>
      <c r="B300" s="170">
        <f>'58'!I12+'67'!I4</f>
        <v>50.44407711365204</v>
      </c>
      <c r="C300" s="163" t="s">
        <v>648</v>
      </c>
    </row>
    <row r="301" spans="1:3" ht="15">
      <c r="A301" s="188" t="s">
        <v>933</v>
      </c>
      <c r="B301" s="170">
        <f>'109'!I6</f>
        <v>-0.1166521583654685</v>
      </c>
      <c r="C301" s="163">
        <v>109</v>
      </c>
    </row>
    <row r="302" spans="1:3" ht="15">
      <c r="A302" s="196" t="s">
        <v>1227</v>
      </c>
      <c r="B302" s="170">
        <f>'145'!I8</f>
        <v>29.302966521240023</v>
      </c>
      <c r="C302" s="163">
        <v>145</v>
      </c>
    </row>
    <row r="303" spans="1:3" ht="15">
      <c r="A303" s="199" t="s">
        <v>513</v>
      </c>
      <c r="B303" s="170">
        <f>'52'!H12</f>
        <v>-2.6224207863156153</v>
      </c>
      <c r="C303" s="163">
        <v>52</v>
      </c>
    </row>
    <row r="304" spans="1:3" ht="15">
      <c r="A304" s="196" t="s">
        <v>519</v>
      </c>
      <c r="B304" s="170">
        <f>'53'!H5+'56'!I6+'63'!I5+'99'!I11+'115'!I7</f>
        <v>0.2877617980705054</v>
      </c>
      <c r="C304" s="163" t="s">
        <v>972</v>
      </c>
    </row>
    <row r="305" spans="1:3" ht="15">
      <c r="A305" s="196" t="s">
        <v>975</v>
      </c>
      <c r="B305" s="170">
        <f>'116'!I12</f>
        <v>-26.302467378190386</v>
      </c>
      <c r="C305" s="163">
        <v>116</v>
      </c>
    </row>
    <row r="306" spans="1:3" ht="60">
      <c r="A306" s="196" t="s">
        <v>115</v>
      </c>
      <c r="B306" s="170">
        <f>'35'!G10+'36'!G4+'37'!G7+'38'!G4+'39'!G8+'44'!G5+'45'!G7+'49'!G5+'51'!H7+'58'!I10+'60'!I5+'61'!I4+'62'!I11+'64'!I13+'65'!I8+'66'!I9+'69'!I11+'72'!I10+'79'!I15+'80'!I10+'81'!I8+'85'!I5+'94'!I5+'109'!I5+'110'!I9+'119'!I9+'131'!I8+'132'!I11+'133'!I9+'135'!I17</f>
        <v>39.3270175442571</v>
      </c>
      <c r="C306" s="163" t="s">
        <v>1145</v>
      </c>
    </row>
    <row r="307" spans="1:3" ht="15">
      <c r="A307" s="195" t="s">
        <v>1036</v>
      </c>
      <c r="B307" s="170">
        <f>'123'!I4+'130'!I11</f>
        <v>-20.682773681182198</v>
      </c>
      <c r="C307" s="163" t="s">
        <v>1101</v>
      </c>
    </row>
    <row r="308" spans="1:3" ht="15">
      <c r="A308" s="199" t="s">
        <v>805</v>
      </c>
      <c r="B308" s="170">
        <f>'89'!I6</f>
        <v>-0.33964793370159896</v>
      </c>
      <c r="C308" s="163">
        <v>89</v>
      </c>
    </row>
    <row r="309" spans="1:3" ht="15">
      <c r="A309" s="216" t="s">
        <v>657</v>
      </c>
      <c r="B309" s="170">
        <f>'69'!I5+'105'!I11+'150'!I9</f>
        <v>112.9361734896969</v>
      </c>
      <c r="C309" s="163" t="s">
        <v>1284</v>
      </c>
    </row>
    <row r="310" spans="1:3" ht="15">
      <c r="A310" s="199" t="s">
        <v>116</v>
      </c>
      <c r="B310" s="170">
        <f>'14'!I16</f>
        <v>-1.4265045945662678</v>
      </c>
      <c r="C310" s="163">
        <v>14</v>
      </c>
    </row>
    <row r="311" spans="1:3" ht="15">
      <c r="A311" s="185" t="s">
        <v>936</v>
      </c>
      <c r="B311" s="170">
        <f>'110'!I5+'120'!I8+'131'!I10+'138'!I5</f>
        <v>-9.277707467472396</v>
      </c>
      <c r="C311" s="163" t="s">
        <v>1174</v>
      </c>
    </row>
    <row r="312" spans="1:3" ht="15">
      <c r="A312" s="121" t="s">
        <v>117</v>
      </c>
      <c r="B312" s="170">
        <f>5!I7</f>
        <v>-0.07084366259709896</v>
      </c>
      <c r="C312" s="163">
        <v>5</v>
      </c>
    </row>
    <row r="313" spans="1:3" ht="45">
      <c r="A313" s="191" t="s">
        <v>118</v>
      </c>
      <c r="B313" s="170">
        <f>9!I6+'11'!I6+'13'!I10+'16(1)'!I12+'17'!I17+'19'!I4+'20'!I13+'26'!G6+'29(2)'!G19+'32'!G11+'35'!G12+'38'!G9+'41'!G6+45+'59'!I5+'60'!I7+'68'!I10+'82'!I11+'101'!I4+'102'!I9+'103'!I11+'104'!I6</f>
        <v>0.28334756395520344</v>
      </c>
      <c r="C313" s="163" t="s">
        <v>903</v>
      </c>
    </row>
    <row r="314" spans="1:3" ht="15">
      <c r="A314" s="188" t="s">
        <v>939</v>
      </c>
      <c r="B314" s="170">
        <f>'111'!I5+'113'!I5+'118'!I5</f>
        <v>25.132024505309516</v>
      </c>
      <c r="C314" s="163" t="s">
        <v>999</v>
      </c>
    </row>
    <row r="315" spans="1:3" ht="15">
      <c r="A315" s="189" t="s">
        <v>1011</v>
      </c>
      <c r="B315" s="170">
        <f>'119'!I19</f>
        <v>30.578743481228685</v>
      </c>
      <c r="C315" s="163">
        <v>119</v>
      </c>
    </row>
    <row r="316" spans="1:3" ht="15">
      <c r="A316" s="121" t="s">
        <v>577</v>
      </c>
      <c r="B316" s="170">
        <f>'60'!I9</f>
        <v>-0.2379629080542145</v>
      </c>
      <c r="C316" s="163">
        <v>60</v>
      </c>
    </row>
    <row r="317" spans="1:3" ht="15">
      <c r="A317" s="121" t="s">
        <v>119</v>
      </c>
      <c r="B317" s="170">
        <f>'24'!G14+'27'!G10+'46'!G11</f>
        <v>-0.18637757385499754</v>
      </c>
      <c r="C317" s="163" t="s">
        <v>457</v>
      </c>
    </row>
    <row r="318" spans="1:5" ht="15">
      <c r="A318" s="121" t="s">
        <v>120</v>
      </c>
      <c r="B318" s="170">
        <f>'20'!I8</f>
        <v>0.23752307692313934</v>
      </c>
      <c r="C318" s="163">
        <v>20</v>
      </c>
      <c r="D318" s="6"/>
      <c r="E318" s="6"/>
    </row>
    <row r="319" spans="1:5" ht="15">
      <c r="A319" s="121" t="s">
        <v>413</v>
      </c>
      <c r="B319" s="170">
        <f>'41'!G7+'103'!I6</f>
        <v>2.8633686086324133</v>
      </c>
      <c r="C319" s="163" t="s">
        <v>895</v>
      </c>
      <c r="D319" s="6"/>
      <c r="E319" s="6"/>
    </row>
    <row r="320" spans="1:4" ht="15">
      <c r="A320" s="121" t="s">
        <v>121</v>
      </c>
      <c r="B320" s="170">
        <f>'13'!I14+'14'!I5+'18'!I10+'24'!G6</f>
        <v>-5.211545452134828</v>
      </c>
      <c r="C320" s="163" t="s">
        <v>122</v>
      </c>
      <c r="D320" s="6"/>
    </row>
    <row r="321" spans="1:5" ht="15">
      <c r="A321" s="188" t="s">
        <v>961</v>
      </c>
      <c r="B321" s="170">
        <f>'114'!I12</f>
        <v>-0.22529232280339784</v>
      </c>
      <c r="C321" s="163">
        <v>114</v>
      </c>
      <c r="D321" s="6"/>
      <c r="E321" s="6"/>
    </row>
    <row r="322" spans="1:5" ht="15">
      <c r="A322" s="188" t="s">
        <v>730</v>
      </c>
      <c r="B322" s="170">
        <f>'78'!I12+'98'!I9+'123'!I5</f>
        <v>93.3498938847747</v>
      </c>
      <c r="C322" s="163" t="s">
        <v>1040</v>
      </c>
      <c r="D322" s="6"/>
      <c r="E322" s="6"/>
    </row>
    <row r="323" spans="1:4" ht="15">
      <c r="A323" s="188" t="s">
        <v>558</v>
      </c>
      <c r="B323" s="170">
        <f>'23'!G5+'58'!I11+'141'!I8</f>
        <v>29.921950543430285</v>
      </c>
      <c r="C323" s="163" t="s">
        <v>1196</v>
      </c>
      <c r="D323" s="6"/>
    </row>
    <row r="324" spans="1:4" ht="15">
      <c r="A324" s="188" t="s">
        <v>693</v>
      </c>
      <c r="B324" s="170">
        <f>'73'!I6+'121'!I10</f>
        <v>7.458762868281099</v>
      </c>
      <c r="C324" s="163" t="s">
        <v>1024</v>
      </c>
      <c r="D324" s="6"/>
    </row>
    <row r="325" spans="1:3" ht="15">
      <c r="A325" s="213" t="s">
        <v>1228</v>
      </c>
      <c r="B325" s="170">
        <f>'145'!I10+'148'!I10</f>
        <v>36.51764529734305</v>
      </c>
      <c r="C325" s="163" t="s">
        <v>1266</v>
      </c>
    </row>
    <row r="326" spans="1:4" ht="15">
      <c r="A326" s="188" t="s">
        <v>874</v>
      </c>
      <c r="B326" s="170">
        <f>'99'!I12</f>
        <v>-0.3323246359091172</v>
      </c>
      <c r="C326" s="163">
        <v>99</v>
      </c>
      <c r="D326" s="6"/>
    </row>
    <row r="327" spans="1:4" ht="15">
      <c r="A327" s="121" t="s">
        <v>540</v>
      </c>
      <c r="B327" s="170">
        <f>'55'!I11</f>
        <v>-0.230588512289728</v>
      </c>
      <c r="C327" s="163">
        <v>55</v>
      </c>
      <c r="D327" s="6"/>
    </row>
    <row r="328" spans="1:4" ht="15">
      <c r="A328" s="188" t="s">
        <v>560</v>
      </c>
      <c r="B328" s="170">
        <f>'58'!I13+'75'!I14+'129'!I14</f>
        <v>-60.98060975368912</v>
      </c>
      <c r="C328" s="163" t="s">
        <v>1092</v>
      </c>
      <c r="D328" s="6"/>
    </row>
    <row r="329" spans="1:4" ht="15">
      <c r="A329" s="121" t="s">
        <v>124</v>
      </c>
      <c r="B329" s="170">
        <f>'39'!G11+'43'!G5</f>
        <v>0.9503643286959687</v>
      </c>
      <c r="C329" s="163">
        <v>39.43</v>
      </c>
      <c r="D329" s="6"/>
    </row>
    <row r="330" spans="1:4" ht="15">
      <c r="A330" s="188" t="s">
        <v>850</v>
      </c>
      <c r="B330" s="170">
        <f>'95'!I9+'115'!I12+'129'!I11+'131'!I5+'143'!I4</f>
        <v>-4.366227750851692</v>
      </c>
      <c r="C330" s="163" t="s">
        <v>1209</v>
      </c>
      <c r="D330" s="6"/>
    </row>
    <row r="331" spans="1:5" ht="15">
      <c r="A331" s="199" t="s">
        <v>125</v>
      </c>
      <c r="B331" s="179">
        <f>'23'!G7+'27'!G6+'28'!G6+'44'!G9</f>
        <v>-0.03051164359342806</v>
      </c>
      <c r="C331" s="180" t="s">
        <v>443</v>
      </c>
      <c r="D331" s="6"/>
      <c r="E331" s="6"/>
    </row>
    <row r="332" spans="1:5" ht="30">
      <c r="A332" s="204" t="s">
        <v>126</v>
      </c>
      <c r="B332" s="170">
        <f>'29(2)'!G8+'31'!G18+'65'!I4+'66'!I5+'79'!I14+'89'!I8+'95'!I5+'118'!I7+'120'!I4+'135'!I10+'146'!I9+'148'!I15</f>
        <v>-26.19188938114013</v>
      </c>
      <c r="C332" s="163" t="s">
        <v>1265</v>
      </c>
      <c r="D332" s="6"/>
      <c r="E332" s="6"/>
    </row>
    <row r="333" spans="1:5" ht="15">
      <c r="A333" s="197" t="s">
        <v>609</v>
      </c>
      <c r="B333" s="170">
        <f>'63'!I10</f>
        <v>0.21634472680398176</v>
      </c>
      <c r="C333" s="163">
        <v>63</v>
      </c>
      <c r="D333" s="6"/>
      <c r="E333" s="6"/>
    </row>
    <row r="334" spans="1:3" ht="15">
      <c r="A334" s="215" t="s">
        <v>1259</v>
      </c>
      <c r="B334" s="170">
        <f>'148'!I14</f>
        <v>-1.7430299197321801</v>
      </c>
      <c r="C334" s="163">
        <v>148</v>
      </c>
    </row>
    <row r="335" spans="1:5" ht="90">
      <c r="A335" s="208" t="s">
        <v>1251</v>
      </c>
      <c r="B335" s="170">
        <f>'19'!I15+'21'!G8+'22'!G7+'29(1)'!G14+'32'!G12+'40'!G14+'43'!G12+'54'!I4+'59'!I14+'65'!I6+'67'!I8+'69'!I14+'70'!I14+'75'!I10+'79'!I16+'84'!I6+'88'!I5+'92'!I13+'94'!I4+'95'!I8+'97'!I7+'103'!I13+'105'!I7+'106'!I16+'107'!I4+'108'!I8+'113'!I13+'114'!I10+'117'!I15+'118'!I6+'123'!I8+'124'!I17+'125'!I8+'126'!I14+'136'!I12+'139'!I15+'144'!I7+'146'!I6+'147'!I7</f>
        <v>2.0131056320614675</v>
      </c>
      <c r="C335" s="163" t="s">
        <v>1252</v>
      </c>
      <c r="D335" s="6"/>
      <c r="E335" s="6"/>
    </row>
    <row r="336" spans="1:3" ht="15">
      <c r="A336" s="197" t="s">
        <v>128</v>
      </c>
      <c r="B336" s="170">
        <f>6!I5+'64'!I6</f>
        <v>18.270234626092588</v>
      </c>
      <c r="C336" s="163" t="s">
        <v>621</v>
      </c>
    </row>
    <row r="337" spans="1:3" ht="15">
      <c r="A337" s="121" t="s">
        <v>416</v>
      </c>
      <c r="B337" s="170">
        <f>'41'!G10+'60'!I22+'61'!I5+'79'!I8+'80'!I9+'86'!I4+'90'!I11+'115'!I10</f>
        <v>4.647024100840838</v>
      </c>
      <c r="C337" s="163" t="s">
        <v>816</v>
      </c>
    </row>
    <row r="338" spans="1:5" ht="15">
      <c r="A338" s="121" t="s">
        <v>885</v>
      </c>
      <c r="B338" s="170">
        <f>'101'!I9</f>
        <v>2.052687295597593</v>
      </c>
      <c r="C338" s="163">
        <v>101</v>
      </c>
      <c r="D338" s="6"/>
      <c r="E338" s="6"/>
    </row>
    <row r="339" spans="1:3" ht="15">
      <c r="A339" s="121" t="s">
        <v>129</v>
      </c>
      <c r="B339" s="170">
        <f>'16(2)'!I10+'20'!I15+'23'!G14</f>
        <v>62.39444596965927</v>
      </c>
      <c r="C339" s="163" t="s">
        <v>130</v>
      </c>
    </row>
    <row r="340" spans="1:3" ht="15">
      <c r="A340" s="121" t="s">
        <v>131</v>
      </c>
      <c r="B340" s="170">
        <f>'14'!I18+'16(2)'!I11</f>
        <v>-2.7323260106788894</v>
      </c>
      <c r="C340" s="163" t="s">
        <v>132</v>
      </c>
    </row>
    <row r="341" spans="1:3" ht="15">
      <c r="A341" s="189" t="s">
        <v>1098</v>
      </c>
      <c r="B341" s="170">
        <f>'130'!I12</f>
        <v>-0.0027543993953713652</v>
      </c>
      <c r="C341" s="163">
        <v>130</v>
      </c>
    </row>
    <row r="342" spans="1:3" ht="15">
      <c r="A342" s="188" t="s">
        <v>585</v>
      </c>
      <c r="B342" s="170">
        <f>'61'!I8+'125'!I10+'128'!I8+'132'!I6</f>
        <v>7.123143202018241</v>
      </c>
      <c r="C342" s="163" t="s">
        <v>1117</v>
      </c>
    </row>
    <row r="343" spans="1:3" ht="15">
      <c r="A343" s="188" t="s">
        <v>133</v>
      </c>
      <c r="B343" s="170">
        <f>'19'!I10+'26'!G11+'29(2)'!G14+'36'!G11+'118'!I9</f>
        <v>2.7326471754896033</v>
      </c>
      <c r="C343" s="163" t="s">
        <v>1000</v>
      </c>
    </row>
    <row r="344" spans="1:3" ht="15">
      <c r="A344" s="121" t="s">
        <v>952</v>
      </c>
      <c r="B344" s="170">
        <f>'113'!I11</f>
        <v>25.442031296625146</v>
      </c>
      <c r="C344" s="163">
        <v>113</v>
      </c>
    </row>
    <row r="345" spans="1:3" ht="15">
      <c r="A345" s="121" t="s">
        <v>423</v>
      </c>
      <c r="B345" s="170">
        <f>'42'!G9+'72'!I4</f>
        <v>0.16057859006554054</v>
      </c>
      <c r="C345" s="163" t="s">
        <v>688</v>
      </c>
    </row>
    <row r="346" spans="1:3" ht="15">
      <c r="A346" s="121" t="s">
        <v>447</v>
      </c>
      <c r="B346" s="170">
        <f>'45'!G9+'116'!I4</f>
        <v>0.07964599055026156</v>
      </c>
      <c r="C346" s="163" t="s">
        <v>977</v>
      </c>
    </row>
    <row r="347" spans="1:3" ht="15">
      <c r="A347" s="121" t="s">
        <v>473</v>
      </c>
      <c r="B347" s="170">
        <f>'48'!G5</f>
        <v>-8.04356502081248</v>
      </c>
      <c r="C347" s="163">
        <v>48</v>
      </c>
    </row>
    <row r="348" spans="1:4" ht="30">
      <c r="A348" s="213" t="s">
        <v>134</v>
      </c>
      <c r="B348" s="170">
        <f>'16(2)'!I8+'19'!I18+'25'!G10+'60'!I13+'64'!I15+'96'!I6+'113'!I15+'148'!I12</f>
        <v>0.37834903266437436</v>
      </c>
      <c r="C348" s="163" t="s">
        <v>1264</v>
      </c>
      <c r="D348" s="6"/>
    </row>
    <row r="349" spans="1:3" ht="15">
      <c r="A349" s="213" t="s">
        <v>1258</v>
      </c>
      <c r="B349" s="170">
        <f>'148'!I13</f>
        <v>3.5781595618728943</v>
      </c>
      <c r="C349" s="163">
        <v>148</v>
      </c>
    </row>
    <row r="350" spans="1:3" ht="15">
      <c r="A350" s="121" t="s">
        <v>542</v>
      </c>
      <c r="B350" s="170">
        <f>'56'!I4</f>
        <v>0.3152323779854669</v>
      </c>
      <c r="C350" s="163">
        <v>56</v>
      </c>
    </row>
    <row r="351" spans="1:3" ht="15">
      <c r="A351" s="121" t="s">
        <v>135</v>
      </c>
      <c r="B351" s="170">
        <f>'24'!G7</f>
        <v>-4.938543917967081</v>
      </c>
      <c r="C351" s="163">
        <v>24</v>
      </c>
    </row>
    <row r="352" spans="1:3" ht="15">
      <c r="A352" s="121" t="s">
        <v>743</v>
      </c>
      <c r="B352" s="170">
        <f>'81'!I4+'95'!I7+'114'!I9</f>
        <v>-6.296465785841974</v>
      </c>
      <c r="C352" s="163" t="s">
        <v>965</v>
      </c>
    </row>
    <row r="353" spans="1:3" ht="15">
      <c r="A353" s="188" t="s">
        <v>1163</v>
      </c>
      <c r="B353" s="170">
        <f>'137'!I13</f>
        <v>3.1667516969696408</v>
      </c>
      <c r="C353" s="163">
        <v>137</v>
      </c>
    </row>
    <row r="354" spans="1:3" ht="15">
      <c r="A354" s="189" t="s">
        <v>556</v>
      </c>
      <c r="B354" s="170">
        <f>'58'!I7+'75'!I12+'98'!I7+'110'!I7+'119'!I13</f>
        <v>8.258084639146205</v>
      </c>
      <c r="C354" s="163" t="s">
        <v>1016</v>
      </c>
    </row>
    <row r="355" spans="1:3" ht="15">
      <c r="A355" s="188" t="s">
        <v>1181</v>
      </c>
      <c r="B355" s="170">
        <f>'35'!G7+'70'!I13+'139'!I16</f>
        <v>-29.407411823013263</v>
      </c>
      <c r="C355" s="163" t="s">
        <v>1182</v>
      </c>
    </row>
    <row r="356" spans="1:3" ht="15">
      <c r="A356" s="188" t="s">
        <v>495</v>
      </c>
      <c r="B356" s="170">
        <f>'50'!H13+'52'!H11+'59'!I4+'63'!I11+'65'!I9+'147'!I5</f>
        <v>-2.4985774823658176</v>
      </c>
      <c r="C356" s="163" t="s">
        <v>1253</v>
      </c>
    </row>
    <row r="357" spans="1:3" ht="15">
      <c r="A357" s="121" t="s">
        <v>884</v>
      </c>
      <c r="B357" s="170">
        <f>'101'!I8</f>
        <v>2.5161438993711727</v>
      </c>
      <c r="C357" s="163">
        <v>101</v>
      </c>
    </row>
    <row r="358" spans="1:3" ht="15">
      <c r="A358" s="188" t="s">
        <v>787</v>
      </c>
      <c r="B358" s="170">
        <f>'87'!I6+'92'!I6+'104'!I4+'141'!I4</f>
        <v>-0.2861348051111463</v>
      </c>
      <c r="C358" s="163" t="s">
        <v>1195</v>
      </c>
    </row>
    <row r="359" spans="1:3" ht="15">
      <c r="A359" s="188" t="s">
        <v>1233</v>
      </c>
      <c r="B359" s="170">
        <f>'146'!I4</f>
        <v>-0.413583928362641</v>
      </c>
      <c r="C359" s="163">
        <v>146</v>
      </c>
    </row>
    <row r="360" spans="1:3" ht="15">
      <c r="A360" s="188" t="s">
        <v>1047</v>
      </c>
      <c r="B360" s="170">
        <f>'124'!I18</f>
        <v>-62.73881277213286</v>
      </c>
      <c r="C360" s="163">
        <v>124</v>
      </c>
    </row>
    <row r="361" spans="1:3" ht="15">
      <c r="A361" s="121" t="s">
        <v>1021</v>
      </c>
      <c r="B361" s="170">
        <f>'121'!I6</f>
        <v>-0.6206888312957517</v>
      </c>
      <c r="C361" s="163">
        <v>121</v>
      </c>
    </row>
    <row r="362" spans="1:3" ht="15">
      <c r="A362" s="121" t="s">
        <v>137</v>
      </c>
      <c r="B362" s="170">
        <f>'24'!G5</f>
        <v>64.17885221702636</v>
      </c>
      <c r="C362" s="163">
        <v>24</v>
      </c>
    </row>
    <row r="363" spans="1:3" ht="15">
      <c r="A363" s="121" t="s">
        <v>138</v>
      </c>
      <c r="B363" s="170">
        <f>'13'!I9+'16(1)'!I8</f>
        <v>52.913083198135155</v>
      </c>
      <c r="C363" s="163" t="s">
        <v>139</v>
      </c>
    </row>
    <row r="364" spans="1:3" ht="15">
      <c r="A364" s="188" t="s">
        <v>796</v>
      </c>
      <c r="B364" s="170">
        <f>'88'!I8+'92'!I7+'124'!I9</f>
        <v>-0.3191090028375356</v>
      </c>
      <c r="C364" s="163" t="s">
        <v>1049</v>
      </c>
    </row>
    <row r="365" spans="1:3" ht="30">
      <c r="A365" s="188" t="s">
        <v>453</v>
      </c>
      <c r="B365" s="170">
        <f>'46'!G5+'50'!H5+'54'!I16+'56'!I12+'60'!I12+'63'!I15+'75'!I13+'76'!I12+'78'!I6+'79'!I13+'82'!I16+'129'!I4</f>
        <v>2.7370964252758654</v>
      </c>
      <c r="C365" s="163" t="s">
        <v>1093</v>
      </c>
    </row>
    <row r="366" spans="1:3" ht="15">
      <c r="A366" s="189" t="s">
        <v>715</v>
      </c>
      <c r="B366" s="170">
        <f>'75'!I8+'84'!I11+'125'!I21</f>
        <v>-72.82262142379022</v>
      </c>
      <c r="C366" s="163" t="s">
        <v>1064</v>
      </c>
    </row>
    <row r="367" spans="1:3" ht="135">
      <c r="A367" s="203" t="s">
        <v>418</v>
      </c>
      <c r="B367" s="170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+'100'!I4+'103'!I8+'104'!I13+'105'!I15+'106'!I11+'107'!I6+'109'!I4+'112'!I10+'113'!I9+'115'!I14+'121'!I4+'122'!I4+'124'!I4+'126'!I4+'128'!I4+'130'!I4+'131'!I12+'134'!I15+'137'!I5+'139'!I4+'140'!I5+'144'!I13+'145'!I7+'148'!I5+'150'!I5</f>
        <v>-1020.8408688838584</v>
      </c>
      <c r="C367" s="163" t="s">
        <v>1285</v>
      </c>
    </row>
    <row r="368" spans="1:3" ht="15">
      <c r="A368" s="201" t="s">
        <v>1275</v>
      </c>
      <c r="B368" s="170">
        <f>'150'!I4</f>
        <v>-3.2643101325477915</v>
      </c>
      <c r="C368" s="163">
        <v>150</v>
      </c>
    </row>
    <row r="369" spans="1:3" ht="15">
      <c r="A369" s="189" t="s">
        <v>140</v>
      </c>
      <c r="B369" s="170">
        <f>'29(1)'!G15+'40'!G15+'46'!G6+'80'!I16+'87'!I16+'88'!I12+'94'!I6+'130'!I14</f>
        <v>-46.46411548923538</v>
      </c>
      <c r="C369" s="163" t="s">
        <v>1102</v>
      </c>
    </row>
    <row r="370" spans="1:3" ht="15">
      <c r="A370" s="121" t="s">
        <v>141</v>
      </c>
      <c r="B370" s="170">
        <f>'32'!G7+'35'!G11+'56'!I11+'63'!I9</f>
        <v>40.64537443730126</v>
      </c>
      <c r="C370" s="163" t="s">
        <v>613</v>
      </c>
    </row>
    <row r="371" spans="1:3" ht="15">
      <c r="A371" s="121" t="s">
        <v>529</v>
      </c>
      <c r="B371" s="170">
        <f>'54'!I12+'77'!I5+'82'!I14+'87'!I4</f>
        <v>-0.08159177425159214</v>
      </c>
      <c r="C371" s="163" t="s">
        <v>790</v>
      </c>
    </row>
    <row r="372" spans="1:3" ht="15">
      <c r="A372" s="191" t="s">
        <v>142</v>
      </c>
      <c r="B372" s="170">
        <f>'29(2)'!G13</f>
        <v>-0.35793348086440346</v>
      </c>
      <c r="C372" s="163" t="s">
        <v>69</v>
      </c>
    </row>
    <row r="373" spans="1:3" ht="15">
      <c r="A373" s="121" t="s">
        <v>143</v>
      </c>
      <c r="B373" s="170">
        <f>2!I8+4!I4+5!I9+'13'!I7+'14'!I7+'16(2)'!I14</f>
        <v>-0.26795477762348696</v>
      </c>
      <c r="C373" s="163" t="s">
        <v>144</v>
      </c>
    </row>
    <row r="374" spans="1:3" ht="30">
      <c r="A374" s="188" t="s">
        <v>145</v>
      </c>
      <c r="B374" s="170">
        <f>'33'!G10+'35'!G9+'40'!G10+'49'!G8+'75'!I9+'77'!I11+'88'!I4+'96'!I7+'104'!I7+'136'!I4+'143'!I12</f>
        <v>-66.24025023630259</v>
      </c>
      <c r="C374" s="163" t="s">
        <v>1208</v>
      </c>
    </row>
    <row r="375" spans="1:3" ht="15">
      <c r="A375" s="121" t="s">
        <v>768</v>
      </c>
      <c r="B375" s="170">
        <f>'84'!I5+'106'!I7</f>
        <v>-2.2961864458849277</v>
      </c>
      <c r="C375" s="163" t="s">
        <v>918</v>
      </c>
    </row>
    <row r="376" spans="1:3" ht="15">
      <c r="A376" s="188" t="s">
        <v>951</v>
      </c>
      <c r="B376" s="170">
        <f>'113'!I10</f>
        <v>-2.932160852575521</v>
      </c>
      <c r="C376" s="163">
        <v>113</v>
      </c>
    </row>
    <row r="377" spans="1:3" ht="15">
      <c r="A377" s="121" t="s">
        <v>617</v>
      </c>
      <c r="B377" s="170">
        <f>'64'!I10</f>
        <v>14.06402575633689</v>
      </c>
      <c r="C377" s="163">
        <v>64</v>
      </c>
    </row>
    <row r="378" spans="1:3" ht="15">
      <c r="A378" s="189" t="s">
        <v>572</v>
      </c>
      <c r="B378" s="170">
        <f>'59'!I16+'66'!I6+'81'!I5</f>
        <v>22.04753093697707</v>
      </c>
      <c r="C378" s="163" t="s">
        <v>748</v>
      </c>
    </row>
    <row r="379" spans="1:3" ht="15">
      <c r="A379" s="189" t="s">
        <v>735</v>
      </c>
      <c r="B379" s="170">
        <f>'80'!I5+'82'!I13+'96'!I5+'120'!I7</f>
        <v>-0.10996868917629854</v>
      </c>
      <c r="C379" s="163" t="s">
        <v>1017</v>
      </c>
    </row>
    <row r="380" spans="1:3" ht="15">
      <c r="A380" s="121" t="s">
        <v>146</v>
      </c>
      <c r="B380" s="170">
        <f>4!I11</f>
        <v>0.3555208241029959</v>
      </c>
      <c r="C380" s="163">
        <v>4</v>
      </c>
    </row>
    <row r="381" spans="1:3" ht="30">
      <c r="A381" s="203" t="s">
        <v>694</v>
      </c>
      <c r="B381" s="170">
        <f>'73'!I7+'75'!I11+'83'!I4+'87'!I14+'92'!I9+'104'!I15+'115'!I8+'123'!I10+'137'!I9+'144'!I11+'148'!I7</f>
        <v>3.5783241540507333</v>
      </c>
      <c r="C381" s="163" t="s">
        <v>1263</v>
      </c>
    </row>
    <row r="382" spans="1:3" ht="15">
      <c r="A382" s="188" t="s">
        <v>913</v>
      </c>
      <c r="B382" s="170">
        <f>'106'!I8+'131'!I6</f>
        <v>2.586995105159019</v>
      </c>
      <c r="C382" s="163" t="s">
        <v>1108</v>
      </c>
    </row>
    <row r="383" spans="1:3" ht="30">
      <c r="A383" s="188" t="s">
        <v>548</v>
      </c>
      <c r="B383" s="170">
        <f>'57'!I4+'73'!I8+'75'!I5+'76'!I7+'104'!I16+'113'!I17+'133'!I5+'135'!I6</f>
        <v>26.801078808841794</v>
      </c>
      <c r="C383" s="163" t="s">
        <v>1144</v>
      </c>
    </row>
    <row r="384" spans="1:3" ht="15">
      <c r="A384" s="121" t="s">
        <v>474</v>
      </c>
      <c r="B384" s="170">
        <f>'48'!G7</f>
        <v>0.15460360748261337</v>
      </c>
      <c r="C384" s="163">
        <v>48</v>
      </c>
    </row>
    <row r="385" spans="1:3" ht="15">
      <c r="A385" s="121" t="s">
        <v>442</v>
      </c>
      <c r="B385" s="170">
        <f>'44'!G13</f>
        <v>-0.18921123132406592</v>
      </c>
      <c r="C385" s="163">
        <v>44</v>
      </c>
    </row>
    <row r="386" spans="1:3" ht="15">
      <c r="A386" s="189" t="s">
        <v>1096</v>
      </c>
      <c r="B386" s="170">
        <f>'130'!I7</f>
        <v>-7.430469079879003</v>
      </c>
      <c r="C386" s="163">
        <v>130</v>
      </c>
    </row>
    <row r="387" spans="1:3" ht="15">
      <c r="A387" s="121" t="s">
        <v>557</v>
      </c>
      <c r="B387" s="170">
        <f>'58'!I8</f>
        <v>97.86730037594043</v>
      </c>
      <c r="C387" s="163">
        <v>58</v>
      </c>
    </row>
    <row r="388" spans="1:3" ht="15">
      <c r="A388" s="191" t="s">
        <v>147</v>
      </c>
      <c r="B388" s="170">
        <f>'28'!G13</f>
        <v>0.9007972322502837</v>
      </c>
      <c r="C388" s="163">
        <v>28</v>
      </c>
    </row>
    <row r="389" spans="1:3" ht="15">
      <c r="A389" s="121" t="s">
        <v>491</v>
      </c>
      <c r="B389" s="170">
        <f>'50'!H8</f>
        <v>0.060383711746226254</v>
      </c>
      <c r="C389" s="163">
        <v>50</v>
      </c>
    </row>
    <row r="390" spans="1:3" ht="15">
      <c r="A390" s="188" t="s">
        <v>915</v>
      </c>
      <c r="B390" s="170">
        <f>'106'!I1+'137'!I4+'139'!I9</f>
        <v>0.4489979684396985</v>
      </c>
      <c r="C390" s="163" t="s">
        <v>1183</v>
      </c>
    </row>
    <row r="391" spans="1:3" ht="15">
      <c r="A391" s="188" t="s">
        <v>479</v>
      </c>
      <c r="B391" s="170">
        <f>'49'!G9+'77'!I6+'79'!I6+'80'!I15+'108'!I5+'138'!I12</f>
        <v>-11.83270695987153</v>
      </c>
      <c r="C391" s="163" t="s">
        <v>1175</v>
      </c>
    </row>
    <row r="392" spans="1:3" ht="15">
      <c r="A392" s="121" t="s">
        <v>148</v>
      </c>
      <c r="B392" s="170">
        <f>'37'!G5+'87'!I15</f>
        <v>-1.038624263627014</v>
      </c>
      <c r="C392" s="163">
        <v>37.87</v>
      </c>
    </row>
    <row r="393" spans="1:3" ht="15">
      <c r="A393" s="121" t="s">
        <v>992</v>
      </c>
      <c r="B393" s="170">
        <f>'117'!I18</f>
        <v>-0.17332083675773902</v>
      </c>
      <c r="C393" s="163">
        <v>117</v>
      </c>
    </row>
    <row r="394" spans="1:3" ht="15">
      <c r="A394" s="201" t="s">
        <v>1278</v>
      </c>
      <c r="B394" s="170">
        <f>'150'!I15</f>
        <v>-20.812442209130495</v>
      </c>
      <c r="C394" s="163">
        <v>150</v>
      </c>
    </row>
    <row r="395" spans="1:3" ht="15">
      <c r="A395" s="121" t="s">
        <v>149</v>
      </c>
      <c r="B395" s="170">
        <f>'17'!I5</f>
        <v>-1.0175167811578376</v>
      </c>
      <c r="C395" s="163">
        <v>17</v>
      </c>
    </row>
    <row r="396" spans="1:3" ht="15">
      <c r="A396" s="213" t="s">
        <v>1130</v>
      </c>
      <c r="B396" s="170">
        <f>'134'!I11+'149'!I11</f>
        <v>22.23737631475865</v>
      </c>
      <c r="C396" s="163" t="s">
        <v>1286</v>
      </c>
    </row>
    <row r="397" spans="1:3" ht="15">
      <c r="A397" s="214" t="s">
        <v>150</v>
      </c>
      <c r="B397" s="170">
        <f>'14'!I20</f>
        <v>0.385818121263128</v>
      </c>
      <c r="C397" s="163">
        <v>14</v>
      </c>
    </row>
    <row r="398" spans="1:3" ht="15">
      <c r="A398" s="213" t="s">
        <v>1226</v>
      </c>
      <c r="B398" s="170">
        <f>'145'!I6</f>
        <v>-0.13319384615397212</v>
      </c>
      <c r="C398" s="163">
        <v>145</v>
      </c>
    </row>
    <row r="399" spans="1:3" ht="15">
      <c r="A399" s="213" t="s">
        <v>1273</v>
      </c>
      <c r="B399" s="170">
        <f>'149'!I7</f>
        <v>0.40424423350759753</v>
      </c>
      <c r="C399" s="163">
        <v>149</v>
      </c>
    </row>
    <row r="400" spans="1:3" ht="15">
      <c r="A400" s="121" t="s">
        <v>151</v>
      </c>
      <c r="B400" s="170">
        <f>'28'!G8</f>
        <v>0.8726729843561998</v>
      </c>
      <c r="C400" s="163">
        <v>28</v>
      </c>
    </row>
    <row r="401" spans="1:3" ht="15">
      <c r="A401" s="121" t="s">
        <v>1073</v>
      </c>
      <c r="B401" s="170">
        <f>'127'!I5</f>
        <v>-3.3526133408071246</v>
      </c>
      <c r="C401" s="163">
        <v>127</v>
      </c>
    </row>
    <row r="402" spans="1:3" ht="15">
      <c r="A402" s="210" t="s">
        <v>1128</v>
      </c>
      <c r="B402" s="170">
        <f>'134'!I9+'143'!I5+'146'!I12+'151'!I10</f>
        <v>-1127.619284773743</v>
      </c>
      <c r="C402" s="163" t="s">
        <v>1297</v>
      </c>
    </row>
    <row r="403" spans="1:3" ht="15">
      <c r="A403" s="197" t="s">
        <v>501</v>
      </c>
      <c r="B403" s="170">
        <f>'51'!H9</f>
        <v>0.1605030188679848</v>
      </c>
      <c r="C403" s="163">
        <v>51</v>
      </c>
    </row>
    <row r="404" spans="1:3" ht="15">
      <c r="A404" s="197" t="s">
        <v>804</v>
      </c>
      <c r="B404" s="170">
        <f>'89'!I5</f>
        <v>-0.4295247734805798</v>
      </c>
      <c r="C404" s="163">
        <v>89</v>
      </c>
    </row>
    <row r="405" spans="1:3" ht="15">
      <c r="A405" s="185" t="s">
        <v>1178</v>
      </c>
      <c r="B405" s="170">
        <f>'139'!I8</f>
        <v>0.4676820875915837</v>
      </c>
      <c r="C405" s="163">
        <v>139</v>
      </c>
    </row>
    <row r="406" spans="1:3" ht="15">
      <c r="A406" s="197" t="s">
        <v>152</v>
      </c>
      <c r="B406" s="170">
        <f>'12'!I16+'14'!I12+'38'!G5</f>
        <v>-2.2311829689456317</v>
      </c>
      <c r="C406" s="163" t="s">
        <v>153</v>
      </c>
    </row>
    <row r="407" spans="1:3" ht="15">
      <c r="A407" s="197" t="s">
        <v>555</v>
      </c>
      <c r="B407" s="170">
        <f>'58'!I5+'62'!I9</f>
        <v>-0.32373129886809693</v>
      </c>
      <c r="C407" s="163" t="s">
        <v>602</v>
      </c>
    </row>
    <row r="408" spans="1:3" ht="15">
      <c r="A408" s="197" t="s">
        <v>849</v>
      </c>
      <c r="B408" s="170">
        <f>'95'!I6</f>
        <v>13.76510434195734</v>
      </c>
      <c r="C408" s="163">
        <v>95</v>
      </c>
    </row>
    <row r="409" spans="1:3" ht="15">
      <c r="A409" s="197" t="s">
        <v>154</v>
      </c>
      <c r="B409" s="170">
        <f>'31'!G16</f>
        <v>8.080706160018849</v>
      </c>
      <c r="C409" s="163">
        <v>31</v>
      </c>
    </row>
    <row r="410" spans="1:3" ht="60">
      <c r="A410" s="185" t="s">
        <v>155</v>
      </c>
      <c r="B410" s="170">
        <f>'20'!I9+'27'!G9+'29(2)'!G16+'31'!G5+'32'!G9+'34'!G5+'41'!G12+'43'!G8+'46'!G4+'48'!G4+'52'!H9+'54'!I15+'70'!I8+'72'!I11+'76'!I4+'82'!I8+'83'!I6+'102'!I5+'116'!I13+'117'!I12+'133'!I8+'134'!I7+'141'!I10+'144'!I6+'146'!I15</f>
        <v>-10.197822934421794</v>
      </c>
      <c r="C410" s="163" t="s">
        <v>1237</v>
      </c>
    </row>
    <row r="411" spans="1:3" ht="45">
      <c r="A411" s="203" t="s">
        <v>630</v>
      </c>
      <c r="B411" s="170">
        <f>'66'!I11+'67'!I14+'72'!I7+'94'!I12+'96'!I13+'105'!I6+'106'!I13+'112'!I8+'115'!I6+'117'!I11+'119'!I8+'130'!I9+'131'!I14+'135'!I11+'137'!I8+'139'!I6+'146'!I13+'147'!I9+'148'!I17+'150'!I13</f>
        <v>20.87237173462904</v>
      </c>
      <c r="C411" s="163" t="s">
        <v>1287</v>
      </c>
    </row>
    <row r="412" spans="1:3" ht="15">
      <c r="A412" s="188" t="s">
        <v>1080</v>
      </c>
      <c r="B412" s="170">
        <f>'128'!I11</f>
        <v>0.12727497215382755</v>
      </c>
      <c r="C412" s="163">
        <v>128</v>
      </c>
    </row>
    <row r="413" spans="1:3" ht="15">
      <c r="A413" s="121" t="s">
        <v>156</v>
      </c>
      <c r="B413" s="170">
        <f>'33'!G13+'42'!G6+'50'!H12</f>
        <v>-0.05134831815144025</v>
      </c>
      <c r="C413" s="163" t="s">
        <v>497</v>
      </c>
    </row>
    <row r="414" spans="1:3" ht="15">
      <c r="A414" s="121" t="s">
        <v>157</v>
      </c>
      <c r="B414" s="170">
        <f>'16(2)'!I9</f>
        <v>-5.279036409865057</v>
      </c>
      <c r="C414" s="163" t="s">
        <v>31</v>
      </c>
    </row>
    <row r="415" spans="1:3" ht="15">
      <c r="A415" s="188" t="s">
        <v>579</v>
      </c>
      <c r="B415" s="170">
        <f>'60'!I17+'124'!I11</f>
        <v>-3.735545627853071</v>
      </c>
      <c r="C415" s="163" t="s">
        <v>1050</v>
      </c>
    </row>
    <row r="416" spans="1:3" ht="15">
      <c r="A416" s="121" t="s">
        <v>158</v>
      </c>
      <c r="B416" s="170">
        <f>'25'!G16</f>
        <v>5.935818252442459</v>
      </c>
      <c r="C416" s="163">
        <v>25</v>
      </c>
    </row>
    <row r="417" spans="1:3" ht="30">
      <c r="A417" s="188" t="s">
        <v>921</v>
      </c>
      <c r="B417" s="170">
        <f>'107'!I5+'113'!I12+'115'!I11+'119'!I4+'129'!I17+'136'!I8+'144'!I16</f>
        <v>-0.19692529836271433</v>
      </c>
      <c r="C417" s="163" t="s">
        <v>1219</v>
      </c>
    </row>
    <row r="418" spans="1:3" ht="15">
      <c r="A418" s="188" t="s">
        <v>950</v>
      </c>
      <c r="B418" s="170">
        <f>'113'!I8+'122'!I13</f>
        <v>-0.9902448079111537</v>
      </c>
      <c r="C418" s="163" t="s">
        <v>1032</v>
      </c>
    </row>
    <row r="419" spans="1:3" ht="15">
      <c r="A419" s="188" t="s">
        <v>724</v>
      </c>
      <c r="B419" s="170">
        <f>'77'!I7+'92'!I8+'136'!I11</f>
        <v>-1.8746821950956019</v>
      </c>
      <c r="C419" s="163" t="s">
        <v>1156</v>
      </c>
    </row>
    <row r="420" spans="1:3" ht="15">
      <c r="A420" s="189" t="s">
        <v>1057</v>
      </c>
      <c r="B420" s="170">
        <f>'125'!I12</f>
        <v>-0.1782947717231309</v>
      </c>
      <c r="C420" s="163">
        <v>125</v>
      </c>
    </row>
    <row r="421" spans="1:3" ht="15">
      <c r="A421" s="188" t="s">
        <v>1087</v>
      </c>
      <c r="B421" s="170">
        <f>'129'!I5+'136'!I16+'139'!I7</f>
        <v>0.02897459548455572</v>
      </c>
      <c r="C421" s="163" t="s">
        <v>1184</v>
      </c>
    </row>
    <row r="422" spans="1:3" ht="15">
      <c r="A422" s="121" t="s">
        <v>159</v>
      </c>
      <c r="B422" s="170">
        <f>'20'!I14+'21'!G9+'23'!G16+'29(1)'!G10</f>
        <v>4.519749534337251</v>
      </c>
      <c r="C422" s="163" t="s">
        <v>160</v>
      </c>
    </row>
    <row r="423" spans="1:3" ht="15">
      <c r="A423" s="188" t="s">
        <v>997</v>
      </c>
      <c r="B423" s="170">
        <f>'118'!I4</f>
        <v>30.081091990846744</v>
      </c>
      <c r="C423" s="163">
        <v>118</v>
      </c>
    </row>
    <row r="424" spans="1:3" ht="15">
      <c r="A424" s="188" t="s">
        <v>465</v>
      </c>
      <c r="B424" s="170">
        <f>'47'!G10</f>
        <v>-0.3522664878969408</v>
      </c>
      <c r="C424" s="163">
        <v>47</v>
      </c>
    </row>
    <row r="425" spans="1:3" ht="15">
      <c r="A425" s="188" t="s">
        <v>1105</v>
      </c>
      <c r="B425" s="170">
        <f>'131'!I11+'134'!I8</f>
        <v>0.044058093513513086</v>
      </c>
      <c r="C425" s="163" t="s">
        <v>1133</v>
      </c>
    </row>
    <row r="426" spans="1:3" ht="15">
      <c r="A426" s="188" t="s">
        <v>683</v>
      </c>
      <c r="B426" s="170">
        <f>'72'!I9</f>
        <v>6.4189867312347815</v>
      </c>
      <c r="C426" s="163">
        <v>72</v>
      </c>
    </row>
    <row r="427" spans="1:3" ht="15">
      <c r="A427" s="121" t="s">
        <v>161</v>
      </c>
      <c r="B427" s="170">
        <f>3!I5</f>
        <v>-9.799272465160925</v>
      </c>
      <c r="C427" s="163">
        <v>3</v>
      </c>
    </row>
    <row r="428" spans="1:3" ht="15">
      <c r="A428" s="188" t="s">
        <v>1069</v>
      </c>
      <c r="B428" s="170">
        <f>'126'!I13</f>
        <v>-0.46390615587256434</v>
      </c>
      <c r="C428" s="163">
        <v>126</v>
      </c>
    </row>
    <row r="429" spans="1:3" ht="15">
      <c r="A429" s="188" t="s">
        <v>1242</v>
      </c>
      <c r="B429" s="170">
        <f>'147'!I8</f>
        <v>-0.12848257958285103</v>
      </c>
      <c r="C429" s="163">
        <v>147</v>
      </c>
    </row>
    <row r="430" spans="1:3" ht="15">
      <c r="A430" s="121" t="s">
        <v>945</v>
      </c>
      <c r="B430" s="170">
        <f>'112'!I11</f>
        <v>-1.5673263157892734</v>
      </c>
      <c r="C430" s="163">
        <v>112</v>
      </c>
    </row>
    <row r="431" spans="1:3" ht="15">
      <c r="A431" s="188" t="s">
        <v>1179</v>
      </c>
      <c r="B431" s="170">
        <f>'139'!I12</f>
        <v>-25.099247240875684</v>
      </c>
      <c r="C431" s="163">
        <v>139</v>
      </c>
    </row>
    <row r="432" spans="1:3" ht="15">
      <c r="A432" s="121" t="s">
        <v>615</v>
      </c>
      <c r="B432" s="170">
        <f>'64'!I7</f>
        <v>39.17221654946843</v>
      </c>
      <c r="C432" s="163">
        <v>64</v>
      </c>
    </row>
    <row r="433" spans="1:3" ht="15">
      <c r="A433" s="121" t="s">
        <v>534</v>
      </c>
      <c r="B433" s="170">
        <f>'55'!I12</f>
        <v>0.4477978654591652</v>
      </c>
      <c r="C433" s="163">
        <v>55</v>
      </c>
    </row>
    <row r="434" spans="1:3" ht="15">
      <c r="A434" s="121" t="s">
        <v>646</v>
      </c>
      <c r="B434" s="170">
        <f>'67'!I10+'79'!I9+'94'!I13</f>
        <v>3.3446129348080262</v>
      </c>
      <c r="C434" s="163" t="s">
        <v>847</v>
      </c>
    </row>
    <row r="435" spans="1:3" ht="15">
      <c r="A435" s="191" t="s">
        <v>162</v>
      </c>
      <c r="B435" s="170">
        <f>'30'!G12+'55'!I8</f>
        <v>-0.1362735207642345</v>
      </c>
      <c r="C435" s="163" t="s">
        <v>541</v>
      </c>
    </row>
    <row r="436" spans="1:3" ht="15">
      <c r="A436" s="121" t="s">
        <v>422</v>
      </c>
      <c r="B436" s="170">
        <f>'42'!G8</f>
        <v>-0.33400953310308523</v>
      </c>
      <c r="C436" s="163">
        <v>42</v>
      </c>
    </row>
    <row r="437" spans="1:3" ht="15">
      <c r="A437" s="188" t="s">
        <v>870</v>
      </c>
      <c r="B437" s="170">
        <f>'98'!I6+'118'!I11</f>
        <v>41.7016001846514</v>
      </c>
      <c r="C437" s="163" t="s">
        <v>1001</v>
      </c>
    </row>
    <row r="438" spans="1:3" ht="15">
      <c r="A438" s="121" t="s">
        <v>163</v>
      </c>
      <c r="B438" s="170">
        <f>2!I6+4!I10+7!I5+'18'!I12+'21'!G14+'22'!G11+'24'!G16</f>
        <v>-3.0264099509668654</v>
      </c>
      <c r="C438" s="163" t="s">
        <v>164</v>
      </c>
    </row>
    <row r="439" spans="1:3" ht="15">
      <c r="A439" s="201" t="s">
        <v>1243</v>
      </c>
      <c r="B439" s="170">
        <f>'147'!I15+'149'!I10</f>
        <v>3.606689665207341</v>
      </c>
      <c r="C439" s="163" t="s">
        <v>1288</v>
      </c>
    </row>
    <row r="440" spans="1:3" ht="15">
      <c r="A440" s="199" t="s">
        <v>165</v>
      </c>
      <c r="B440" s="179">
        <f>'36'!G10</f>
        <v>18.73798828489339</v>
      </c>
      <c r="C440" s="180">
        <v>36</v>
      </c>
    </row>
    <row r="441" spans="1:3" ht="15">
      <c r="A441" s="197" t="s">
        <v>166</v>
      </c>
      <c r="B441" s="170">
        <f>'12'!I17+'19'!I7</f>
        <v>0.38755488348715517</v>
      </c>
      <c r="C441" s="163" t="s">
        <v>167</v>
      </c>
    </row>
    <row r="442" spans="1:3" ht="15">
      <c r="A442" s="197" t="s">
        <v>168</v>
      </c>
      <c r="B442" s="170">
        <f>'33'!G17+'38'!G10+'59'!I11+'60'!I25+'112'!I7</f>
        <v>-29.116932331433418</v>
      </c>
      <c r="C442" s="163" t="s">
        <v>947</v>
      </c>
    </row>
    <row r="443" spans="1:3" ht="15">
      <c r="A443" s="185" t="s">
        <v>625</v>
      </c>
      <c r="B443" s="170">
        <f>'65'!I13+'66'!I7+'79'!I17+'86'!I9+'124'!I10</f>
        <v>-8.695082678359313</v>
      </c>
      <c r="C443" s="163" t="s">
        <v>1051</v>
      </c>
    </row>
    <row r="444" spans="1:3" ht="15">
      <c r="A444" s="197" t="s">
        <v>169</v>
      </c>
      <c r="B444" s="170">
        <f>'31'!G4</f>
        <v>12.114333726693303</v>
      </c>
      <c r="C444" s="163">
        <v>31</v>
      </c>
    </row>
    <row r="445" spans="1:3" ht="15">
      <c r="A445" s="197" t="s">
        <v>599</v>
      </c>
      <c r="B445" s="170">
        <f>'62'!I12+'127'!I5</f>
        <v>-3.323976805169991</v>
      </c>
      <c r="C445" s="163" t="s">
        <v>1075</v>
      </c>
    </row>
    <row r="446" spans="1:3" ht="15">
      <c r="A446" s="197" t="s">
        <v>949</v>
      </c>
      <c r="B446" s="170">
        <f>'113'!I6</f>
        <v>0.4747035701598179</v>
      </c>
      <c r="C446" s="163">
        <v>113</v>
      </c>
    </row>
    <row r="447" spans="1:3" ht="15">
      <c r="A447" s="207" t="s">
        <v>1306</v>
      </c>
      <c r="B447" s="170">
        <f>'151'!I11</f>
        <v>-2176.5581229243103</v>
      </c>
      <c r="C447" s="163">
        <v>151</v>
      </c>
    </row>
    <row r="448" spans="1:3" ht="15">
      <c r="A448" s="197" t="s">
        <v>569</v>
      </c>
      <c r="B448" s="170">
        <f>'59'!I12+'78'!I11+'81'!I9+'82'!I15+'86'!I10+'109'!I9</f>
        <v>-0.26593728851133847</v>
      </c>
      <c r="C448" s="163" t="s">
        <v>934</v>
      </c>
    </row>
    <row r="449" spans="1:3" ht="15">
      <c r="A449" s="207" t="s">
        <v>1293</v>
      </c>
      <c r="B449" s="170">
        <f>'108'!I7+'147'!I12+'151'!I6</f>
        <v>-1351.4702207045295</v>
      </c>
      <c r="C449" s="163" t="s">
        <v>1296</v>
      </c>
    </row>
    <row r="450" spans="1:3" ht="15">
      <c r="A450" s="208" t="s">
        <v>614</v>
      </c>
      <c r="B450" s="170">
        <f>'64'!I4+'84'!I4+'87'!I13+'90'!I9+'91'!I5+'99'!I6+'129'!I8+'150'!I11</f>
        <v>-0.10020900510906472</v>
      </c>
      <c r="C450" s="163" t="s">
        <v>1289</v>
      </c>
    </row>
    <row r="451" spans="1:3" ht="15">
      <c r="A451" s="121" t="s">
        <v>170</v>
      </c>
      <c r="B451" s="170">
        <f>'29(2)'!G6</f>
        <v>0.21974550898198686</v>
      </c>
      <c r="C451" s="163" t="s">
        <v>69</v>
      </c>
    </row>
    <row r="452" spans="1:3" ht="15">
      <c r="A452" s="188" t="s">
        <v>1138</v>
      </c>
      <c r="B452" s="170">
        <f>'135'!I8</f>
        <v>-4.270873126385823</v>
      </c>
      <c r="C452" s="163">
        <v>135</v>
      </c>
    </row>
    <row r="453" spans="1:3" ht="15">
      <c r="A453" s="201" t="s">
        <v>1074</v>
      </c>
      <c r="B453" s="170">
        <f>'127'!I8+'147'!I16</f>
        <v>-0.015543015165349061</v>
      </c>
      <c r="C453" s="163" t="s">
        <v>1254</v>
      </c>
    </row>
    <row r="454" spans="1:3" ht="15">
      <c r="A454" s="188" t="s">
        <v>844</v>
      </c>
      <c r="B454" s="170">
        <f>'94'!I11</f>
        <v>-0.4302895881006634</v>
      </c>
      <c r="C454" s="163">
        <v>94</v>
      </c>
    </row>
    <row r="455" spans="1:3" ht="15">
      <c r="A455" s="188" t="s">
        <v>1089</v>
      </c>
      <c r="B455" s="170">
        <f>'129'!I12</f>
        <v>6.692105251641124</v>
      </c>
      <c r="C455" s="163">
        <v>129</v>
      </c>
    </row>
    <row r="456" spans="1:3" ht="15">
      <c r="A456" s="121" t="s">
        <v>526</v>
      </c>
      <c r="B456" s="170">
        <f>'54'!I7</f>
        <v>-0.18070106411994402</v>
      </c>
      <c r="C456" s="163">
        <v>54</v>
      </c>
    </row>
    <row r="457" spans="1:3" ht="15">
      <c r="A457" s="189" t="s">
        <v>1012</v>
      </c>
      <c r="B457" s="170">
        <f>'120'!I6</f>
        <v>-0.3530193876024441</v>
      </c>
      <c r="C457" s="163">
        <v>120</v>
      </c>
    </row>
    <row r="458" spans="1:3" ht="15">
      <c r="A458" s="121" t="s">
        <v>171</v>
      </c>
      <c r="B458" s="170">
        <f>'25'!G8</f>
        <v>3.910956074052592</v>
      </c>
      <c r="C458" s="163">
        <v>25</v>
      </c>
    </row>
    <row r="459" spans="1:3" ht="15">
      <c r="A459" s="121" t="s">
        <v>172</v>
      </c>
      <c r="B459" s="170">
        <f>'23'!G8</f>
        <v>3.234460964630216</v>
      </c>
      <c r="C459" s="163">
        <v>23</v>
      </c>
    </row>
    <row r="460" spans="1:3" ht="30">
      <c r="A460" s="121" t="s">
        <v>173</v>
      </c>
      <c r="B460" s="170">
        <f>'36'!G15+'38'!G8+'40'!G4+'44'!G11+'47'!G5+'51'!H5+'56'!I7+'58'!I4+'60'!I14+'62'!I13+'77'!I8</f>
        <v>7.2242376289225945</v>
      </c>
      <c r="C460" s="163" t="s">
        <v>726</v>
      </c>
    </row>
    <row r="461" spans="1:3" ht="15">
      <c r="A461" s="121" t="s">
        <v>588</v>
      </c>
      <c r="B461" s="170">
        <f>'61'!I11</f>
        <v>-0.051879333333317845</v>
      </c>
      <c r="C461" s="163">
        <v>61</v>
      </c>
    </row>
    <row r="462" spans="1:3" ht="15">
      <c r="A462" s="121" t="s">
        <v>645</v>
      </c>
      <c r="B462" s="170">
        <f>'67'!I7+'73'!I9+'76'!I10+'92'!I11</f>
        <v>21.128997765785698</v>
      </c>
      <c r="C462" s="163" t="s">
        <v>829</v>
      </c>
    </row>
    <row r="463" spans="1:3" ht="75">
      <c r="A463" s="181" t="s">
        <v>174</v>
      </c>
      <c r="B463" s="170">
        <f>3!I9+4!I7+5!I5+'11'!I7+'12'!I12+'18'!I16+'19'!I6+'23'!G4+'24'!G9+'25'!G15+'26'!G4+'28'!G15+'31'!G9+'33'!G5+'34'!G8+'36'!G7+'55'!I15+'66'!I15+'67'!I5+'68'!I4+'86'!I7+'87'!I7+'100'!I5+'124'!I16+'125'!I6+'126'!I11+'129'!I15+'132'!I16+'133'!I4+'135'!I18+'139'!I5+'141'!I12+'143'!I13+'145'!I9+'146'!I5</f>
        <v>-25.71604602033827</v>
      </c>
      <c r="C463" s="163" t="s">
        <v>1236</v>
      </c>
    </row>
    <row r="464" spans="1:3" ht="15">
      <c r="A464" s="121" t="s">
        <v>175</v>
      </c>
      <c r="B464" s="170">
        <f>2!I11+'13'!I12+'14'!I11+'17'!I14+'23'!G13+'29(1)'!G4+'30'!G11+'47'!G9</f>
        <v>-0.24230741628753094</v>
      </c>
      <c r="C464" s="163" t="s">
        <v>468</v>
      </c>
    </row>
    <row r="465" spans="1:3" ht="15">
      <c r="A465" s="121" t="s">
        <v>551</v>
      </c>
      <c r="B465" s="170">
        <f>'57'!I10+'89'!I9</f>
        <v>-0.4540056241238517</v>
      </c>
      <c r="C465" s="163" t="s">
        <v>809</v>
      </c>
    </row>
    <row r="466" spans="1:3" ht="15">
      <c r="A466" s="121" t="s">
        <v>409</v>
      </c>
      <c r="B466" s="170">
        <f>'40'!G17+'43'!G11+'46'!G10+'70'!I11+'76'!I8+'83'!I5</f>
        <v>45.41859516109287</v>
      </c>
      <c r="C466" s="163" t="s">
        <v>766</v>
      </c>
    </row>
    <row r="467" spans="1:3" ht="15">
      <c r="A467" s="188" t="s">
        <v>1193</v>
      </c>
      <c r="B467" s="170">
        <f>'141'!I6</f>
        <v>-16.47742078448914</v>
      </c>
      <c r="C467" s="163">
        <v>141</v>
      </c>
    </row>
    <row r="468" spans="1:3" ht="15">
      <c r="A468" s="188" t="s">
        <v>514</v>
      </c>
      <c r="B468" s="170">
        <f>'52'!H13+'108'!I9+'113'!I7+'125'!I17+'126'!I10+'132'!I10</f>
        <v>-30.511253015858415</v>
      </c>
      <c r="C468" s="163" t="s">
        <v>1118</v>
      </c>
    </row>
    <row r="469" spans="1:3" ht="15">
      <c r="A469" s="201" t="s">
        <v>178</v>
      </c>
      <c r="B469" s="170">
        <f>'38'!G11+'44'!G8+'135'!I15+'142'!I6+'147'!I11+'150'!I6</f>
        <v>-3.072867622372655</v>
      </c>
      <c r="C469" s="163" t="s">
        <v>1290</v>
      </c>
    </row>
    <row r="470" spans="1:3" ht="15">
      <c r="A470" s="188" t="s">
        <v>1028</v>
      </c>
      <c r="B470" s="170">
        <f>'122'!I9</f>
        <v>8.386116292134602</v>
      </c>
      <c r="C470" s="163">
        <v>122</v>
      </c>
    </row>
    <row r="471" spans="1:3" ht="15">
      <c r="A471" s="121" t="s">
        <v>709</v>
      </c>
      <c r="B471" s="170">
        <f>'76'!I6</f>
        <v>8.051636290322676</v>
      </c>
      <c r="C471" s="163">
        <v>76</v>
      </c>
    </row>
    <row r="472" spans="1:3" ht="15">
      <c r="A472" s="121" t="s">
        <v>176</v>
      </c>
      <c r="B472" s="170">
        <f>2!I7+3!I7+4!I8+5!I6+6!I6+'13'!I6+'18'!I6+'25'!G14</f>
        <v>-0.06785785490546914</v>
      </c>
      <c r="C472" s="163" t="s">
        <v>177</v>
      </c>
    </row>
    <row r="473" spans="1:3" ht="15">
      <c r="A473" s="188" t="s">
        <v>825</v>
      </c>
      <c r="B473" s="170">
        <f>'92'!I16+'94'!I9+'124'!I5</f>
        <v>-0.11330790982776762</v>
      </c>
      <c r="C473" s="163" t="s">
        <v>1052</v>
      </c>
    </row>
    <row r="474" spans="1:3" ht="15">
      <c r="A474" s="121" t="s">
        <v>179</v>
      </c>
      <c r="B474" s="170">
        <f>'14'!I17+'15'!I9</f>
        <v>0.06758883892348422</v>
      </c>
      <c r="C474" s="163" t="s">
        <v>180</v>
      </c>
    </row>
    <row r="475" spans="1:3" ht="15">
      <c r="A475" s="189" t="s">
        <v>181</v>
      </c>
      <c r="B475" s="170">
        <f>7!I6+9!I7+'11'!I4+'14'!I14+'15'!I7+'21'!G16+'51'!H12</f>
        <v>1.983580625282002</v>
      </c>
      <c r="C475" s="163" t="s">
        <v>505</v>
      </c>
    </row>
    <row r="476" spans="1:3" ht="15">
      <c r="A476" s="121" t="s">
        <v>182</v>
      </c>
      <c r="B476" s="170">
        <f>'19'!I14+'28'!G4+'32'!G10+'34'!G13</f>
        <v>-0.10878419799064432</v>
      </c>
      <c r="C476" s="163" t="s">
        <v>183</v>
      </c>
    </row>
    <row r="477" spans="1:3" ht="15">
      <c r="A477" s="121" t="s">
        <v>184</v>
      </c>
      <c r="B477" s="170">
        <f>'28'!G11+'36'!G6</f>
        <v>4.291855236672916</v>
      </c>
      <c r="C477" s="163" t="s">
        <v>185</v>
      </c>
    </row>
    <row r="478" spans="1:3" ht="15">
      <c r="A478" s="121" t="s">
        <v>814</v>
      </c>
      <c r="B478" s="170">
        <f>'90'!I8</f>
        <v>0.03478605451948624</v>
      </c>
      <c r="C478" s="163">
        <v>90</v>
      </c>
    </row>
    <row r="479" spans="1:3" ht="15">
      <c r="A479" s="121" t="s">
        <v>186</v>
      </c>
      <c r="B479" s="170">
        <f>'33'!G12+'72'!I13</f>
        <v>0.07549991357552699</v>
      </c>
      <c r="C479" s="163" t="s">
        <v>689</v>
      </c>
    </row>
    <row r="480" spans="1:3" ht="15">
      <c r="A480" s="121" t="s">
        <v>187</v>
      </c>
      <c r="B480" s="170">
        <f>'13'!I16</f>
        <v>-1.742719999999963</v>
      </c>
      <c r="C480" s="163">
        <v>13</v>
      </c>
    </row>
    <row r="481" spans="1:3" ht="15">
      <c r="A481" s="121" t="s">
        <v>846</v>
      </c>
      <c r="B481" s="170">
        <f>'94'!I8</f>
        <v>0.191667620137423</v>
      </c>
      <c r="C481" s="163">
        <v>94</v>
      </c>
    </row>
    <row r="482" spans="1:3" ht="15">
      <c r="A482" s="188" t="s">
        <v>940</v>
      </c>
      <c r="B482" s="170">
        <f>'111'!I6+'137'!I6</f>
        <v>1.6550014735756804</v>
      </c>
      <c r="C482" s="163" t="s">
        <v>1165</v>
      </c>
    </row>
    <row r="483" spans="1:3" ht="15">
      <c r="A483" s="121" t="s">
        <v>531</v>
      </c>
      <c r="B483" s="170">
        <f>'54'!I14+'55'!I9+'60'!I4</f>
        <v>0.4695145227969988</v>
      </c>
      <c r="C483" s="163" t="s">
        <v>581</v>
      </c>
    </row>
    <row r="484" spans="1:3" ht="15">
      <c r="A484" s="188" t="s">
        <v>732</v>
      </c>
      <c r="B484" s="170">
        <f>'79'!I10</f>
        <v>-28.975520627062906</v>
      </c>
      <c r="C484" s="163">
        <v>79</v>
      </c>
    </row>
    <row r="485" spans="1:3" ht="15">
      <c r="A485" s="188" t="s">
        <v>188</v>
      </c>
      <c r="B485" s="170">
        <f>3!I11+5!I11+'11'!I11+'22'!G4+'29(2)'!G9+'37'!G6+'83'!I9+'131'!I17</f>
        <v>-0.633606242240603</v>
      </c>
      <c r="C485" s="163" t="s">
        <v>1107</v>
      </c>
    </row>
    <row r="486" spans="1:3" ht="15">
      <c r="A486" s="189" t="s">
        <v>723</v>
      </c>
      <c r="B486" s="170">
        <f>'77'!I4+'92'!I5+'97'!I9+'102'!I11+'110'!I8+'117'!I16</f>
        <v>-0.3192449888038027</v>
      </c>
      <c r="C486" s="163" t="s">
        <v>995</v>
      </c>
    </row>
    <row r="487" spans="1:3" ht="15">
      <c r="A487" s="205" t="s">
        <v>957</v>
      </c>
      <c r="B487" s="170">
        <f>'114'!I5</f>
        <v>-9.416141624634975</v>
      </c>
      <c r="C487" s="163">
        <v>114</v>
      </c>
    </row>
    <row r="488" spans="1:3" ht="15">
      <c r="A488" s="188" t="s">
        <v>675</v>
      </c>
      <c r="B488" s="170">
        <f>'71'!I10+'97'!I14+'104'!I14+'105'!I13+'129'!I6+'139'!I11</f>
        <v>0.48541769095675136</v>
      </c>
      <c r="C488" s="163" t="s">
        <v>1185</v>
      </c>
    </row>
    <row r="489" spans="1:3" ht="15">
      <c r="A489" s="121" t="s">
        <v>189</v>
      </c>
      <c r="B489" s="170">
        <f>'17'!I9</f>
        <v>-1.983577625122507</v>
      </c>
      <c r="C489" s="163">
        <v>17</v>
      </c>
    </row>
    <row r="490" spans="1:3" ht="15">
      <c r="A490" s="121" t="s">
        <v>807</v>
      </c>
      <c r="B490" s="170">
        <f>'89'!I12</f>
        <v>0.014457580109592527</v>
      </c>
      <c r="C490" s="163">
        <v>89</v>
      </c>
    </row>
    <row r="491" spans="1:3" ht="15">
      <c r="A491" s="121" t="s">
        <v>190</v>
      </c>
      <c r="B491" s="170">
        <f>'36'!G16+'40'!G7+'54'!I9+'57'!I9+'84'!I7+'90'!I4+'114'!I6</f>
        <v>0.10852901408833304</v>
      </c>
      <c r="C491" s="163" t="s">
        <v>963</v>
      </c>
    </row>
    <row r="492" spans="1:3" ht="15">
      <c r="A492" s="188" t="s">
        <v>773</v>
      </c>
      <c r="B492" s="170">
        <f>'85'!I7</f>
        <v>-30.37893762811109</v>
      </c>
      <c r="C492" s="163">
        <v>85</v>
      </c>
    </row>
    <row r="493" spans="1:3" ht="15">
      <c r="A493" s="121" t="s">
        <v>191</v>
      </c>
      <c r="B493" s="170">
        <f>'29(2)'!G4</f>
        <v>0.11064846394151573</v>
      </c>
      <c r="C493" s="163" t="s">
        <v>69</v>
      </c>
    </row>
    <row r="494" spans="1:3" ht="15">
      <c r="A494" s="213" t="s">
        <v>607</v>
      </c>
      <c r="B494" s="170">
        <f>'63'!I4+'81'!I13+'104'!I12+'127'!I9+'148'!I9</f>
        <v>19.55863927895666</v>
      </c>
      <c r="C494" s="163" t="s">
        <v>1262</v>
      </c>
    </row>
    <row r="495" spans="1:3" ht="15">
      <c r="A495" s="227" t="s">
        <v>775</v>
      </c>
      <c r="B495" s="170">
        <f>'85'!I10+'118'!I13+'120'!I9</f>
        <v>0.09335546118450111</v>
      </c>
      <c r="C495" s="163" t="s">
        <v>1018</v>
      </c>
    </row>
    <row r="496" spans="1:3" ht="15">
      <c r="A496" s="213" t="s">
        <v>1038</v>
      </c>
      <c r="B496" s="170">
        <f>'123'!I11+'138'!I10</f>
        <v>-0.1526137745699998</v>
      </c>
      <c r="C496" s="163" t="s">
        <v>1176</v>
      </c>
    </row>
    <row r="497" spans="1:3" ht="15">
      <c r="A497" s="213" t="s">
        <v>989</v>
      </c>
      <c r="B497" s="170">
        <f>'117'!I6+'134'!I4</f>
        <v>-0.31945028897274597</v>
      </c>
      <c r="C497" s="163" t="s">
        <v>1132</v>
      </c>
    </row>
    <row r="498" spans="1:3" ht="15">
      <c r="A498" s="213" t="s">
        <v>192</v>
      </c>
      <c r="B498" s="170">
        <f>'32'!G8+'141'!I7+'143'!I7</f>
        <v>15.483615988686495</v>
      </c>
      <c r="C498" s="163" t="s">
        <v>1207</v>
      </c>
    </row>
    <row r="499" spans="1:3" ht="15">
      <c r="A499" s="213" t="s">
        <v>1097</v>
      </c>
      <c r="B499" s="170">
        <f>'130'!I8+'132'!I17</f>
        <v>-0.11960043868350567</v>
      </c>
      <c r="C499" s="163" t="s">
        <v>1119</v>
      </c>
    </row>
    <row r="500" spans="1:3" ht="15">
      <c r="A500" s="213" t="s">
        <v>1037</v>
      </c>
      <c r="B500" s="170">
        <f>'123'!I6</f>
        <v>0.17215569301265532</v>
      </c>
      <c r="C500" s="163">
        <v>123</v>
      </c>
    </row>
    <row r="501" spans="1:3" ht="15">
      <c r="A501" s="213" t="s">
        <v>1139</v>
      </c>
      <c r="B501" s="170">
        <f>'55'!I4+'60'!I15+'135'!I9</f>
        <v>-8.404907111474927</v>
      </c>
      <c r="C501" s="163" t="s">
        <v>1143</v>
      </c>
    </row>
    <row r="502" spans="1:3" ht="15">
      <c r="A502" s="214" t="s">
        <v>875</v>
      </c>
      <c r="B502" s="170">
        <f>'99'!I8</f>
        <v>-0.3368053474150656</v>
      </c>
      <c r="C502" s="163">
        <v>99</v>
      </c>
    </row>
    <row r="503" spans="1:3" ht="15">
      <c r="A503" s="213" t="s">
        <v>490</v>
      </c>
      <c r="B503" s="170">
        <f>'50'!H7+'72'!I8+'96'!I9+'126'!I7</f>
        <v>0.26532714664188006</v>
      </c>
      <c r="C503" s="163" t="s">
        <v>1071</v>
      </c>
    </row>
    <row r="504" spans="1:3" ht="15">
      <c r="A504" s="213" t="s">
        <v>1140</v>
      </c>
      <c r="B504" s="170">
        <f>'135'!I13+'142'!I5</f>
        <v>0.3227736480735075</v>
      </c>
      <c r="C504" s="163" t="s">
        <v>1202</v>
      </c>
    </row>
    <row r="505" spans="1:3" ht="15">
      <c r="A505" s="214" t="s">
        <v>193</v>
      </c>
      <c r="B505" s="170">
        <f>'29(2)'!G11+'32'!G13+'35'!G5+'69'!I13+'94'!I10</f>
        <v>18.79827308843994</v>
      </c>
      <c r="C505" s="163" t="s">
        <v>845</v>
      </c>
    </row>
    <row r="506" spans="1:3" ht="15">
      <c r="A506" s="213" t="s">
        <v>1164</v>
      </c>
      <c r="B506" s="170">
        <f>'137'!I16+'148'!I4</f>
        <v>-0.10640079923700796</v>
      </c>
      <c r="C506" s="163" t="s">
        <v>1261</v>
      </c>
    </row>
    <row r="507" spans="1:3" ht="30">
      <c r="A507" s="121" t="s">
        <v>594</v>
      </c>
      <c r="B507" s="170">
        <f>'14'!I9+'17'!I16+'20'!I5+'21'!G11+'61'!I13+'62'!I4+'78'!I4+'106'!I14+'132'!I13</f>
        <v>0.04412619920776706</v>
      </c>
      <c r="C507" s="163" t="s">
        <v>1120</v>
      </c>
    </row>
    <row r="508" spans="1:3" ht="15">
      <c r="A508" s="121" t="s">
        <v>194</v>
      </c>
      <c r="B508" s="170">
        <f>'14'!I6</f>
        <v>6.281968766390378</v>
      </c>
      <c r="C508" s="163">
        <v>14</v>
      </c>
    </row>
    <row r="509" spans="1:3" ht="15">
      <c r="A509" s="189" t="s">
        <v>739</v>
      </c>
      <c r="B509" s="170">
        <f>'80'!I14+'81'!I14+'103'!I9+'120'!I5</f>
        <v>90.27587042489631</v>
      </c>
      <c r="C509" s="163" t="s">
        <v>1019</v>
      </c>
    </row>
    <row r="510" spans="1:3" ht="15">
      <c r="A510" s="121" t="s">
        <v>195</v>
      </c>
      <c r="B510" s="170">
        <f>2!I9</f>
        <v>157.6688079646019</v>
      </c>
      <c r="C510" s="163">
        <v>2</v>
      </c>
    </row>
    <row r="511" spans="1:3" ht="15">
      <c r="A511" s="188" t="s">
        <v>1104</v>
      </c>
      <c r="B511" s="170">
        <f>'131'!I7</f>
        <v>-0.26284275362320386</v>
      </c>
      <c r="C511" s="163">
        <v>131</v>
      </c>
    </row>
    <row r="512" spans="1:3" ht="15">
      <c r="A512" s="199" t="s">
        <v>736</v>
      </c>
      <c r="B512" s="179">
        <f>'80'!I6</f>
        <v>41.877081633248395</v>
      </c>
      <c r="C512" s="180">
        <v>80</v>
      </c>
    </row>
    <row r="513" spans="1:3" ht="15">
      <c r="A513" s="185" t="s">
        <v>1205</v>
      </c>
      <c r="B513" s="170">
        <f>'143'!I6</f>
        <v>-17.839228468899478</v>
      </c>
      <c r="C513" s="163">
        <v>143</v>
      </c>
    </row>
    <row r="514" spans="1:3" ht="15">
      <c r="A514" s="197" t="s">
        <v>523</v>
      </c>
      <c r="B514" s="170">
        <f>'54'!I5+'59'!I6</f>
        <v>0.0420651730037207</v>
      </c>
      <c r="C514" s="163" t="s">
        <v>573</v>
      </c>
    </row>
    <row r="515" spans="1:3" ht="15">
      <c r="A515" s="185" t="s">
        <v>1159</v>
      </c>
      <c r="B515" s="170">
        <f>'137'!I7</f>
        <v>-0.062493141906884375</v>
      </c>
      <c r="C515" s="163">
        <v>137</v>
      </c>
    </row>
    <row r="516" spans="1:3" ht="15">
      <c r="A516" s="185" t="s">
        <v>968</v>
      </c>
      <c r="B516" s="170">
        <f>'91'!I7+'33'!G9+'90'!I10+'115'!I5+'116'!I16</f>
        <v>11.067499458783573</v>
      </c>
      <c r="C516" s="163" t="s">
        <v>980</v>
      </c>
    </row>
    <row r="517" spans="1:3" ht="15">
      <c r="A517" s="197" t="s">
        <v>762</v>
      </c>
      <c r="B517" s="170">
        <f>'82'!I12</f>
        <v>-0.34527743526496124</v>
      </c>
      <c r="C517" s="163">
        <v>82</v>
      </c>
    </row>
    <row r="518" spans="1:3" ht="15">
      <c r="A518" s="197" t="s">
        <v>765</v>
      </c>
      <c r="B518" s="170">
        <f>'83'!I10</f>
        <v>33.03891231114403</v>
      </c>
      <c r="C518" s="163">
        <v>83</v>
      </c>
    </row>
    <row r="519" spans="1:3" ht="15">
      <c r="A519" s="185" t="s">
        <v>774</v>
      </c>
      <c r="B519" s="170">
        <f>'85'!I8</f>
        <v>0.030218740849250025</v>
      </c>
      <c r="C519" s="163">
        <v>85</v>
      </c>
    </row>
    <row r="520" spans="1:3" ht="15">
      <c r="A520" s="185" t="s">
        <v>1126</v>
      </c>
      <c r="B520" s="170">
        <f>'134'!I5</f>
        <v>0.21390056892755638</v>
      </c>
      <c r="C520" s="163">
        <v>134</v>
      </c>
    </row>
    <row r="521" spans="1:3" ht="15">
      <c r="A521" s="197" t="s">
        <v>455</v>
      </c>
      <c r="B521" s="170">
        <f>'46'!G8</f>
        <v>39.27420041067762</v>
      </c>
      <c r="C521" s="163">
        <v>46</v>
      </c>
    </row>
    <row r="522" spans="1:3" ht="15">
      <c r="A522" s="197" t="s">
        <v>504</v>
      </c>
      <c r="B522" s="170">
        <f>'51'!H11+'70'!I5</f>
        <v>-0.2720355897704394</v>
      </c>
      <c r="C522" s="163" t="s">
        <v>671</v>
      </c>
    </row>
    <row r="523" spans="1:3" ht="15">
      <c r="A523" s="197" t="s">
        <v>527</v>
      </c>
      <c r="B523" s="170">
        <f>'54'!I10</f>
        <v>-0.23449899045027678</v>
      </c>
      <c r="C523" s="163">
        <v>54</v>
      </c>
    </row>
    <row r="524" spans="1:3" ht="15">
      <c r="A524" s="185" t="s">
        <v>1201</v>
      </c>
      <c r="B524" s="170">
        <f>'142'!I7</f>
        <v>94.34913640449486</v>
      </c>
      <c r="C524" s="163">
        <v>142</v>
      </c>
    </row>
    <row r="525" spans="1:3" ht="15">
      <c r="A525" s="197" t="s">
        <v>197</v>
      </c>
      <c r="B525" s="170">
        <f>'23'!G15+'30'!G6+'56'!I8</f>
        <v>-0.311104782440907</v>
      </c>
      <c r="C525" s="163" t="s">
        <v>546</v>
      </c>
    </row>
    <row r="526" spans="1:3" ht="15">
      <c r="A526" s="197" t="s">
        <v>198</v>
      </c>
      <c r="B526" s="170">
        <f>'15'!I12+'16(2)'!I13+'17'!I4+'18'!I5+'26'!G8+'33'!G14+'39'!G4+'48'!G6</f>
        <v>-0.172415802181888</v>
      </c>
      <c r="C526" s="163" t="s">
        <v>476</v>
      </c>
    </row>
    <row r="527" spans="1:3" ht="15">
      <c r="A527" s="197" t="s">
        <v>808</v>
      </c>
      <c r="B527" s="170">
        <f>'89'!I15</f>
        <v>-0.3210444309393097</v>
      </c>
      <c r="C527" s="163">
        <v>89</v>
      </c>
    </row>
    <row r="528" spans="1:3" ht="15">
      <c r="A528" s="197" t="s">
        <v>543</v>
      </c>
      <c r="B528" s="170">
        <f>'56'!I9</f>
        <v>0.18574615264799377</v>
      </c>
      <c r="C528" s="163">
        <v>56</v>
      </c>
    </row>
    <row r="529" spans="1:3" ht="15">
      <c r="A529" s="197" t="s">
        <v>859</v>
      </c>
      <c r="B529" s="170">
        <f>'97'!I10+'104'!I9+'127'!I12</f>
        <v>-21.462602397847718</v>
      </c>
      <c r="C529" s="163" t="s">
        <v>1077</v>
      </c>
    </row>
    <row r="530" spans="1:3" ht="15">
      <c r="A530" s="197" t="s">
        <v>619</v>
      </c>
      <c r="B530" s="170">
        <f>'64'!I14+'67'!I12+'79'!I12+'87'!I5</f>
        <v>-0.12698388812123085</v>
      </c>
      <c r="C530" s="163" t="s">
        <v>791</v>
      </c>
    </row>
    <row r="531" spans="1:3" ht="15">
      <c r="A531" s="198" t="s">
        <v>1004</v>
      </c>
      <c r="B531" s="170">
        <f>'119'!I5</f>
        <v>13.3002846416382</v>
      </c>
      <c r="C531" s="163">
        <v>119</v>
      </c>
    </row>
    <row r="532" spans="1:3" ht="15">
      <c r="A532" s="121" t="s">
        <v>199</v>
      </c>
      <c r="B532" s="170">
        <f>'24'!G12</f>
        <v>-0.0055381148233664135</v>
      </c>
      <c r="C532" s="163">
        <v>24</v>
      </c>
    </row>
    <row r="533" spans="1:3" ht="15">
      <c r="A533" s="213" t="s">
        <v>1272</v>
      </c>
      <c r="B533" s="170">
        <f>'149'!I4</f>
        <v>-2.363856602501187</v>
      </c>
      <c r="C533" s="163">
        <v>149</v>
      </c>
    </row>
    <row r="534" spans="1:3" ht="15">
      <c r="A534" s="121" t="s">
        <v>578</v>
      </c>
      <c r="B534" s="170">
        <f>'60'!I11</f>
        <v>-0.17973786885238496</v>
      </c>
      <c r="C534" s="163">
        <v>60</v>
      </c>
    </row>
    <row r="535" spans="1:3" ht="15">
      <c r="A535" s="191" t="s">
        <v>200</v>
      </c>
      <c r="B535" s="170">
        <f>'36'!G13+'49'!G7</f>
        <v>0.18773320499064994</v>
      </c>
      <c r="C535" s="163" t="s">
        <v>483</v>
      </c>
    </row>
    <row r="536" spans="1:3" ht="15">
      <c r="A536" s="188" t="s">
        <v>1161</v>
      </c>
      <c r="B536" s="170">
        <f>'137'!I11</f>
        <v>1.3864165742793375</v>
      </c>
      <c r="C536" s="163">
        <v>137</v>
      </c>
    </row>
    <row r="537" spans="1:3" ht="15">
      <c r="A537" s="188" t="s">
        <v>587</v>
      </c>
      <c r="B537" s="170">
        <f>'61'!I10+'68'!I7+'70'!I15+'129'!I16+'131'!I9+'135'!I12</f>
        <v>8.74823589734001</v>
      </c>
      <c r="C537" s="163" t="s">
        <v>1142</v>
      </c>
    </row>
    <row r="538" spans="1:3" ht="15">
      <c r="A538" s="188" t="s">
        <v>1235</v>
      </c>
      <c r="B538" s="170">
        <f>'146'!I10</f>
        <v>8.7550659561403</v>
      </c>
      <c r="C538" s="163">
        <v>146</v>
      </c>
    </row>
    <row r="539" spans="1:3" ht="15">
      <c r="A539" s="121" t="s">
        <v>929</v>
      </c>
      <c r="B539" s="170">
        <f>'108'!I4</f>
        <v>-3.6667948610516987</v>
      </c>
      <c r="C539" s="163">
        <v>108</v>
      </c>
    </row>
    <row r="540" spans="1:3" ht="15">
      <c r="A540" s="121" t="s">
        <v>201</v>
      </c>
      <c r="B540" s="170">
        <f>8!I8+9!I5+'11'!I8+'13'!I11+'18'!I7+'19'!I20+'27'!G11+'36'!G9+'40'!G13</f>
        <v>73.94627971089193</v>
      </c>
      <c r="C540" s="163" t="s">
        <v>411</v>
      </c>
    </row>
    <row r="541" spans="1:3" ht="15">
      <c r="A541" s="121" t="s">
        <v>202</v>
      </c>
      <c r="B541" s="170">
        <f>'15'!I8</f>
        <v>6.533738024480044</v>
      </c>
      <c r="C541" s="163">
        <v>15</v>
      </c>
    </row>
    <row r="542" spans="1:3" ht="15">
      <c r="A542" s="188" t="s">
        <v>203</v>
      </c>
      <c r="B542" s="170">
        <f>3!I8+'12'!I8+'17'!I13+'122'!I7</f>
        <v>-5.532043538753328</v>
      </c>
      <c r="C542" s="163" t="s">
        <v>1031</v>
      </c>
    </row>
    <row r="543" spans="1:3" ht="15">
      <c r="A543" s="121" t="s">
        <v>204</v>
      </c>
      <c r="B543" s="170">
        <f>'29(2)'!G10</f>
        <v>0.1805181593334737</v>
      </c>
      <c r="C543" s="163" t="s">
        <v>69</v>
      </c>
    </row>
  </sheetData>
  <sheetProtection selectLockedCells="1" selectUnlockedCells="1"/>
  <hyperlinks>
    <hyperlink ref="A27" r:id="rId1" display="An@stasia"/>
    <hyperlink ref="A130" r:id="rId2" display="Irch@"/>
    <hyperlink ref="A487" r:id="rId3" display="Оливка@"/>
  </hyperlinks>
  <printOptions/>
  <pageMargins left="0.7" right="0.7" top="0.75" bottom="0.75" header="0.5118055555555555" footer="0.5118055555555555"/>
  <pageSetup horizontalDpi="300" verticalDpi="300" orientation="portrait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205</v>
      </c>
      <c r="B1" s="10">
        <v>41305</v>
      </c>
      <c r="C1" s="10"/>
      <c r="D1" s="11" t="s">
        <v>206</v>
      </c>
      <c r="E1" s="12">
        <v>41.48</v>
      </c>
      <c r="G1" s="8" t="s">
        <v>207</v>
      </c>
    </row>
    <row r="2" s="8" customFormat="1" ht="23.25" customHeight="1">
      <c r="A2" s="33" t="s">
        <v>238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48</v>
      </c>
      <c r="B4" s="16">
        <v>12.8</v>
      </c>
      <c r="C4" s="16">
        <f aca="true" t="shared" si="0" ref="C4:C11">B4*0.95</f>
        <v>12.16</v>
      </c>
      <c r="D4" s="16">
        <f aca="true" t="shared" si="1" ref="D4:D11">B4/$B$12*$D$12</f>
        <v>1.0540022979701265</v>
      </c>
      <c r="E4" s="17">
        <f aca="true" t="shared" si="2" ref="E4:E11">(C4+D4)*$E$1</f>
        <v>548.1168153198008</v>
      </c>
      <c r="F4" s="18"/>
      <c r="G4" s="19">
        <f>E4-F4</f>
        <v>548.1168153198008</v>
      </c>
      <c r="H4" s="22">
        <v>543</v>
      </c>
      <c r="I4" s="21">
        <f aca="true" t="shared" si="3" ref="I4:I11">H4-G4+F4</f>
        <v>-5.116815319800821</v>
      </c>
    </row>
    <row r="5" spans="1:9" s="8" customFormat="1" ht="15">
      <c r="A5" s="4" t="s">
        <v>23</v>
      </c>
      <c r="B5" s="16">
        <v>18.1</v>
      </c>
      <c r="C5" s="16">
        <f t="shared" si="0"/>
        <v>17.195</v>
      </c>
      <c r="D5" s="16">
        <f t="shared" si="1"/>
        <v>1.490425124473382</v>
      </c>
      <c r="E5" s="17">
        <f t="shared" si="2"/>
        <v>775.0714341631559</v>
      </c>
      <c r="F5" s="18"/>
      <c r="G5" s="19">
        <f aca="true" t="shared" si="4" ref="G5:G11">E5-F5</f>
        <v>775.0714341631559</v>
      </c>
      <c r="H5" s="22">
        <v>785</v>
      </c>
      <c r="I5" s="21">
        <f t="shared" si="3"/>
        <v>9.928565836844086</v>
      </c>
    </row>
    <row r="6" spans="1:9" s="8" customFormat="1" ht="15">
      <c r="A6" s="4" t="s">
        <v>61</v>
      </c>
      <c r="B6" s="16">
        <v>167.6</v>
      </c>
      <c r="C6" s="16">
        <f t="shared" si="0"/>
        <v>159.22</v>
      </c>
      <c r="D6" s="16">
        <f t="shared" si="1"/>
        <v>13.800842589046342</v>
      </c>
      <c r="E6" s="17">
        <f t="shared" si="2"/>
        <v>7176.904550593642</v>
      </c>
      <c r="F6" s="18"/>
      <c r="G6" s="19">
        <f t="shared" si="4"/>
        <v>7176.904550593642</v>
      </c>
      <c r="H6" s="22">
        <f>4500+2972</f>
        <v>7472</v>
      </c>
      <c r="I6" s="21">
        <f t="shared" si="3"/>
        <v>295.09544940635806</v>
      </c>
    </row>
    <row r="7" spans="1:9" s="8" customFormat="1" ht="15">
      <c r="A7" s="4" t="s">
        <v>42</v>
      </c>
      <c r="B7" s="16">
        <v>5.5</v>
      </c>
      <c r="C7" s="16">
        <f t="shared" si="0"/>
        <v>5.225</v>
      </c>
      <c r="D7" s="16">
        <f t="shared" si="1"/>
        <v>0.4528916124090387</v>
      </c>
      <c r="E7" s="17">
        <f t="shared" si="2"/>
        <v>235.51894408272688</v>
      </c>
      <c r="F7" s="18"/>
      <c r="G7" s="19">
        <f t="shared" si="4"/>
        <v>235.51894408272688</v>
      </c>
      <c r="H7" s="22"/>
      <c r="I7" s="21">
        <f t="shared" si="3"/>
        <v>-235.51894408272688</v>
      </c>
    </row>
    <row r="8" spans="1:9" s="8" customFormat="1" ht="15">
      <c r="A8" s="4" t="s">
        <v>82</v>
      </c>
      <c r="B8" s="16">
        <v>7.3</v>
      </c>
      <c r="C8" s="16">
        <f t="shared" si="0"/>
        <v>6.935</v>
      </c>
      <c r="D8" s="16">
        <f t="shared" si="1"/>
        <v>0.6011106855610876</v>
      </c>
      <c r="E8" s="17">
        <f t="shared" si="2"/>
        <v>312.59787123707383</v>
      </c>
      <c r="F8" s="18"/>
      <c r="G8" s="19">
        <f t="shared" si="4"/>
        <v>312.59787123707383</v>
      </c>
      <c r="H8" s="22">
        <v>312</v>
      </c>
      <c r="I8" s="21">
        <f t="shared" si="3"/>
        <v>-0.5978712370738322</v>
      </c>
    </row>
    <row r="9" spans="1:9" s="8" customFormat="1" ht="15">
      <c r="A9" s="4" t="s">
        <v>49</v>
      </c>
      <c r="B9" s="16">
        <v>18.4</v>
      </c>
      <c r="C9" s="16">
        <f t="shared" si="0"/>
        <v>17.479999999999997</v>
      </c>
      <c r="D9" s="16">
        <f t="shared" si="1"/>
        <v>1.5151283033320564</v>
      </c>
      <c r="E9" s="17">
        <f t="shared" si="2"/>
        <v>787.9179220222135</v>
      </c>
      <c r="F9" s="18"/>
      <c r="G9" s="19">
        <f t="shared" si="4"/>
        <v>787.9179220222135</v>
      </c>
      <c r="H9" s="22">
        <v>779</v>
      </c>
      <c r="I9" s="21">
        <f t="shared" si="3"/>
        <v>-8.917922022213475</v>
      </c>
    </row>
    <row r="10" spans="1:9" s="8" customFormat="1" ht="15">
      <c r="A10" s="4" t="s">
        <v>81</v>
      </c>
      <c r="B10" s="16">
        <v>5.5</v>
      </c>
      <c r="C10" s="16">
        <f t="shared" si="0"/>
        <v>5.225</v>
      </c>
      <c r="D10" s="16">
        <f t="shared" si="1"/>
        <v>0.4528916124090387</v>
      </c>
      <c r="E10" s="17">
        <f t="shared" si="2"/>
        <v>235.51894408272688</v>
      </c>
      <c r="F10" s="18"/>
      <c r="G10" s="19">
        <f t="shared" si="4"/>
        <v>235.51894408272688</v>
      </c>
      <c r="H10" s="22">
        <v>237</v>
      </c>
      <c r="I10" s="21">
        <f t="shared" si="3"/>
        <v>1.4810559172731246</v>
      </c>
    </row>
    <row r="11" spans="1:9" s="8" customFormat="1" ht="15">
      <c r="A11" s="4" t="s">
        <v>75</v>
      </c>
      <c r="B11" s="16">
        <v>25.9</v>
      </c>
      <c r="C11" s="16">
        <f t="shared" si="0"/>
        <v>24.604999999999997</v>
      </c>
      <c r="D11" s="16">
        <f t="shared" si="1"/>
        <v>2.132707774798927</v>
      </c>
      <c r="E11" s="17">
        <f t="shared" si="2"/>
        <v>1109.0801184986592</v>
      </c>
      <c r="F11" s="18"/>
      <c r="G11" s="19">
        <f t="shared" si="4"/>
        <v>1109.0801184986592</v>
      </c>
      <c r="H11" s="22">
        <v>1100</v>
      </c>
      <c r="I11" s="21">
        <f t="shared" si="3"/>
        <v>-9.080118498659203</v>
      </c>
    </row>
    <row r="12" spans="1:9" s="8" customFormat="1" ht="15">
      <c r="A12" s="25"/>
      <c r="B12" s="26">
        <v>261.1</v>
      </c>
      <c r="C12" s="26">
        <f>SUM(C4:C11)</f>
        <v>248.04499999999996</v>
      </c>
      <c r="D12" s="26">
        <v>21.5</v>
      </c>
      <c r="E12" s="27"/>
      <c r="F12" s="28"/>
      <c r="G12" s="28"/>
      <c r="H12" s="28"/>
      <c r="I12" s="28"/>
    </row>
    <row r="14" ht="23.25">
      <c r="A14" s="30"/>
    </row>
    <row r="15" ht="15">
      <c r="A1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205</v>
      </c>
      <c r="B1" s="10">
        <v>42501</v>
      </c>
      <c r="C1" s="10"/>
      <c r="D1" s="10"/>
      <c r="E1" s="10"/>
      <c r="F1" s="11" t="s">
        <v>206</v>
      </c>
      <c r="G1" s="106">
        <v>76.11</v>
      </c>
      <c r="H1" s="8" t="s">
        <v>207</v>
      </c>
    </row>
    <row r="2" s="8" customFormat="1" ht="23.25" customHeight="1">
      <c r="A2" s="33" t="s">
        <v>867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868</v>
      </c>
      <c r="B4" s="22">
        <v>4.08</v>
      </c>
      <c r="C4" s="22">
        <f aca="true" t="shared" si="0" ref="C4:C12">B4*0.1</f>
        <v>0.40800000000000003</v>
      </c>
      <c r="D4" s="22">
        <v>70</v>
      </c>
      <c r="E4" s="84">
        <f>D4/$D$14*$E$14</f>
        <v>0.35089123317570026</v>
      </c>
      <c r="F4" s="84">
        <f>B4+E4+C4</f>
        <v>4.8388912331757</v>
      </c>
      <c r="G4" s="145">
        <f aca="true" t="shared" si="1" ref="G4:G12">F4*$G$1</f>
        <v>368.28801175700255</v>
      </c>
      <c r="H4" s="151">
        <v>374</v>
      </c>
      <c r="I4" s="146">
        <f aca="true" t="shared" si="2" ref="I4:I12">H4-G4</f>
        <v>5.71198824299745</v>
      </c>
    </row>
    <row r="5" spans="1:9" s="15" customFormat="1" ht="15">
      <c r="A5" s="103" t="s">
        <v>869</v>
      </c>
      <c r="B5" s="22">
        <v>12.42</v>
      </c>
      <c r="C5" s="22">
        <f t="shared" si="0"/>
        <v>1.242</v>
      </c>
      <c r="D5" s="22">
        <v>110</v>
      </c>
      <c r="E5" s="84">
        <f aca="true" t="shared" si="3" ref="E5:E12">D5/$D$14*$E$14</f>
        <v>0.5514005092761005</v>
      </c>
      <c r="F5" s="84">
        <f aca="true" t="shared" si="4" ref="F5:F12">B5+E5+C5</f>
        <v>14.213400509276102</v>
      </c>
      <c r="G5" s="145">
        <f t="shared" si="1"/>
        <v>1081.7819127610042</v>
      </c>
      <c r="H5" s="151">
        <v>1092</v>
      </c>
      <c r="I5" s="146">
        <f t="shared" si="2"/>
        <v>10.21808723899585</v>
      </c>
    </row>
    <row r="6" spans="1:9" s="8" customFormat="1" ht="15">
      <c r="A6" s="104" t="s">
        <v>870</v>
      </c>
      <c r="B6" s="22">
        <v>10.84</v>
      </c>
      <c r="C6" s="22">
        <f t="shared" si="0"/>
        <v>1.084</v>
      </c>
      <c r="D6" s="22">
        <v>150</v>
      </c>
      <c r="E6" s="84">
        <f t="shared" si="3"/>
        <v>0.7519097853765006</v>
      </c>
      <c r="F6" s="84">
        <f t="shared" si="4"/>
        <v>12.6759097853765</v>
      </c>
      <c r="G6" s="145">
        <f t="shared" si="1"/>
        <v>964.7634937650055</v>
      </c>
      <c r="H6" s="151">
        <v>974</v>
      </c>
      <c r="I6" s="146">
        <f t="shared" si="2"/>
        <v>9.236506234994522</v>
      </c>
    </row>
    <row r="7" spans="1:9" s="15" customFormat="1" ht="15">
      <c r="A7" s="103" t="s">
        <v>556</v>
      </c>
      <c r="B7" s="22">
        <v>8.25</v>
      </c>
      <c r="C7" s="22">
        <f>B7*0.1</f>
        <v>0.8250000000000001</v>
      </c>
      <c r="D7" s="22">
        <v>140</v>
      </c>
      <c r="E7" s="84">
        <f t="shared" si="3"/>
        <v>0.7017824663514005</v>
      </c>
      <c r="F7" s="84">
        <f>B7+E7+C7</f>
        <v>9.7767824663514</v>
      </c>
      <c r="G7" s="145">
        <f>F7*$G$1</f>
        <v>744.110913514005</v>
      </c>
      <c r="H7" s="151">
        <v>750</v>
      </c>
      <c r="I7" s="146">
        <f>H7-G7</f>
        <v>5.889086485994994</v>
      </c>
    </row>
    <row r="8" spans="1:9" s="15" customFormat="1" ht="15">
      <c r="A8" s="103" t="s">
        <v>503</v>
      </c>
      <c r="B8" s="22">
        <v>16.58</v>
      </c>
      <c r="C8" s="22">
        <f>B8*0.1</f>
        <v>1.658</v>
      </c>
      <c r="D8" s="22">
        <v>1150</v>
      </c>
      <c r="E8" s="84">
        <f t="shared" si="3"/>
        <v>5.764641687886504</v>
      </c>
      <c r="F8" s="84">
        <f>B8+E8+C8</f>
        <v>24.002641687886502</v>
      </c>
      <c r="G8" s="145">
        <f>F8*$G$1</f>
        <v>1826.8410588650418</v>
      </c>
      <c r="H8" s="151">
        <v>1854</v>
      </c>
      <c r="I8" s="146">
        <f>H8-G8</f>
        <v>27.15894113495824</v>
      </c>
    </row>
    <row r="9" spans="1:9" s="8" customFormat="1" ht="15">
      <c r="A9" s="104" t="s">
        <v>730</v>
      </c>
      <c r="B9" s="22">
        <v>17</v>
      </c>
      <c r="C9" s="22">
        <f>B9*0.1</f>
        <v>1.7000000000000002</v>
      </c>
      <c r="D9" s="22">
        <v>640</v>
      </c>
      <c r="E9" s="84">
        <f t="shared" si="3"/>
        <v>3.208148417606403</v>
      </c>
      <c r="F9" s="84">
        <f>B9+E9+C9</f>
        <v>21.9081484176064</v>
      </c>
      <c r="G9" s="145">
        <f>F9*$G$1</f>
        <v>1667.4291760640233</v>
      </c>
      <c r="H9" s="151">
        <v>1693</v>
      </c>
      <c r="I9" s="146">
        <f>H9-G9</f>
        <v>25.570823935976705</v>
      </c>
    </row>
    <row r="10" spans="1:9" s="15" customFormat="1" ht="15">
      <c r="A10" s="103" t="s">
        <v>8</v>
      </c>
      <c r="B10" s="22">
        <v>30.71</v>
      </c>
      <c r="C10" s="22">
        <f t="shared" si="0"/>
        <v>3.071</v>
      </c>
      <c r="D10" s="22">
        <v>1140</v>
      </c>
      <c r="E10" s="84">
        <f t="shared" si="3"/>
        <v>5.714514368861405</v>
      </c>
      <c r="F10" s="84">
        <f t="shared" si="4"/>
        <v>39.49551436886141</v>
      </c>
      <c r="G10" s="145">
        <f t="shared" si="1"/>
        <v>3006.0035986140415</v>
      </c>
      <c r="H10" s="151">
        <v>3025</v>
      </c>
      <c r="I10" s="146">
        <f t="shared" si="2"/>
        <v>18.996401385958507</v>
      </c>
    </row>
    <row r="11" spans="1:9" s="15" customFormat="1" ht="15">
      <c r="A11" s="103" t="s">
        <v>871</v>
      </c>
      <c r="B11" s="22">
        <v>15.75</v>
      </c>
      <c r="C11" s="22">
        <f>B11*0.1</f>
        <v>1.5750000000000002</v>
      </c>
      <c r="D11" s="22">
        <v>290</v>
      </c>
      <c r="E11" s="84">
        <f t="shared" si="3"/>
        <v>1.4536922517279012</v>
      </c>
      <c r="F11" s="84">
        <f t="shared" si="4"/>
        <v>18.7786922517279</v>
      </c>
      <c r="G11" s="145">
        <f t="shared" si="1"/>
        <v>1429.2462672790105</v>
      </c>
      <c r="H11" s="151">
        <v>1437</v>
      </c>
      <c r="I11" s="146">
        <f t="shared" si="2"/>
        <v>7.753732720989547</v>
      </c>
    </row>
    <row r="12" spans="1:9" s="15" customFormat="1" ht="15">
      <c r="A12" s="103" t="s">
        <v>740</v>
      </c>
      <c r="B12" s="22">
        <v>49.42</v>
      </c>
      <c r="C12" s="22">
        <f t="shared" si="0"/>
        <v>4.942</v>
      </c>
      <c r="D12" s="22">
        <v>910</v>
      </c>
      <c r="E12" s="84">
        <f t="shared" si="3"/>
        <v>4.5615860312841034</v>
      </c>
      <c r="F12" s="84">
        <f t="shared" si="4"/>
        <v>58.9235860312841</v>
      </c>
      <c r="G12" s="145">
        <f t="shared" si="1"/>
        <v>4484.674132841033</v>
      </c>
      <c r="H12" s="151">
        <v>4547</v>
      </c>
      <c r="I12" s="146">
        <f t="shared" si="2"/>
        <v>62.32586715896741</v>
      </c>
    </row>
    <row r="13" spans="1:10" s="8" customFormat="1" ht="15">
      <c r="A13" s="103" t="s">
        <v>224</v>
      </c>
      <c r="B13" s="85"/>
      <c r="C13" s="85"/>
      <c r="D13" s="22">
        <v>9145</v>
      </c>
      <c r="E13" s="84">
        <f>D13/$D$14*$E$14</f>
        <v>45.84143324845399</v>
      </c>
      <c r="F13" s="85"/>
      <c r="G13" s="28"/>
      <c r="H13" s="152"/>
      <c r="I13" s="28"/>
      <c r="J13" s="32"/>
    </row>
    <row r="14" spans="1:9" s="8" customFormat="1" ht="15">
      <c r="A14" s="25"/>
      <c r="B14" s="86"/>
      <c r="C14" s="86"/>
      <c r="D14" s="86">
        <f>SUM(D4:D13)</f>
        <v>13745</v>
      </c>
      <c r="E14" s="1">
        <v>68.9</v>
      </c>
      <c r="F14" s="113"/>
      <c r="G14" s="28"/>
      <c r="H14" s="28"/>
      <c r="I14" s="28"/>
    </row>
    <row r="16" ht="28.5">
      <c r="A16" s="107"/>
    </row>
    <row r="17" ht="28.5">
      <c r="A17" s="107"/>
    </row>
    <row r="18" ht="15">
      <c r="A18" s="141"/>
    </row>
    <row r="19" ht="15">
      <c r="A19" s="141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205</v>
      </c>
      <c r="B1" s="10">
        <v>42509</v>
      </c>
      <c r="C1" s="10"/>
      <c r="D1" s="10"/>
      <c r="E1" s="10"/>
      <c r="F1" s="11" t="s">
        <v>206</v>
      </c>
      <c r="G1" s="106">
        <v>76.47</v>
      </c>
      <c r="H1" s="8" t="s">
        <v>207</v>
      </c>
    </row>
    <row r="2" s="8" customFormat="1" ht="23.25" customHeight="1">
      <c r="A2" s="33" t="s">
        <v>873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50</v>
      </c>
      <c r="B4" s="22">
        <v>12.42</v>
      </c>
      <c r="C4" s="22">
        <f aca="true" t="shared" si="0" ref="C4:C12">B4*0.1</f>
        <v>1.242</v>
      </c>
      <c r="D4" s="22">
        <v>450</v>
      </c>
      <c r="E4" s="84">
        <f>D4/$D$15*$E$15</f>
        <v>2.306281267370762</v>
      </c>
      <c r="F4" s="84">
        <f>B4+E4+C4</f>
        <v>15.968281267370763</v>
      </c>
      <c r="G4" s="145">
        <f aca="true" t="shared" si="1" ref="G4:G12">F4*$G$1</f>
        <v>1221.0944685158422</v>
      </c>
      <c r="H4" s="151">
        <f>1193+29</f>
        <v>1222</v>
      </c>
      <c r="I4" s="146">
        <f>H4-G4</f>
        <v>0.9055314841577911</v>
      </c>
    </row>
    <row r="5" spans="1:9" s="15" customFormat="1" ht="15">
      <c r="A5" s="103" t="s">
        <v>544</v>
      </c>
      <c r="B5" s="22">
        <v>16.58</v>
      </c>
      <c r="C5" s="22">
        <f t="shared" si="0"/>
        <v>1.658</v>
      </c>
      <c r="D5" s="22">
        <v>1150</v>
      </c>
      <c r="E5" s="84">
        <f aca="true" t="shared" si="2" ref="E5:E12">D5/$D$15*$E$15</f>
        <v>5.893829905503057</v>
      </c>
      <c r="F5" s="84">
        <f aca="true" t="shared" si="3" ref="F5:F12">B5+E5+C5</f>
        <v>24.131829905503057</v>
      </c>
      <c r="G5" s="145">
        <f t="shared" si="1"/>
        <v>1845.3610328738187</v>
      </c>
      <c r="H5" s="151">
        <f>1802+43</f>
        <v>1845</v>
      </c>
      <c r="I5" s="146">
        <f aca="true" t="shared" si="4" ref="I5:I12">H5-G5</f>
        <v>-0.3610328738186581</v>
      </c>
    </row>
    <row r="6" spans="1:9" s="8" customFormat="1" ht="15">
      <c r="A6" s="104" t="s">
        <v>614</v>
      </c>
      <c r="B6" s="22">
        <v>15.75</v>
      </c>
      <c r="C6" s="22">
        <f t="shared" si="0"/>
        <v>1.5750000000000002</v>
      </c>
      <c r="D6" s="22">
        <v>125</v>
      </c>
      <c r="E6" s="84">
        <f t="shared" si="2"/>
        <v>0.640633685380767</v>
      </c>
      <c r="F6" s="84">
        <f t="shared" si="3"/>
        <v>17.965633685380766</v>
      </c>
      <c r="G6" s="145">
        <f t="shared" si="1"/>
        <v>1373.832007921067</v>
      </c>
      <c r="H6" s="151">
        <f>1315+59</f>
        <v>1374</v>
      </c>
      <c r="I6" s="146">
        <f t="shared" si="4"/>
        <v>0.16799207893291168</v>
      </c>
    </row>
    <row r="7" spans="1:9" s="15" customFormat="1" ht="15">
      <c r="A7" s="103" t="s">
        <v>61</v>
      </c>
      <c r="B7" s="22">
        <v>5.42</v>
      </c>
      <c r="C7" s="22">
        <f>B7*0.1</f>
        <v>0.542</v>
      </c>
      <c r="D7" s="22">
        <v>305</v>
      </c>
      <c r="E7" s="84">
        <f t="shared" si="2"/>
        <v>1.5631461923290717</v>
      </c>
      <c r="F7" s="84">
        <f>B7+E7+C7</f>
        <v>7.525146192329071</v>
      </c>
      <c r="G7" s="145">
        <f>F7*$G$1</f>
        <v>575.447929327404</v>
      </c>
      <c r="H7" s="151">
        <f>570+20</f>
        <v>590</v>
      </c>
      <c r="I7" s="146">
        <f>H7-G7</f>
        <v>14.55207067259596</v>
      </c>
    </row>
    <row r="8" spans="1:9" s="15" customFormat="1" ht="15">
      <c r="A8" s="103" t="s">
        <v>875</v>
      </c>
      <c r="B8" s="22">
        <v>44.54</v>
      </c>
      <c r="C8" s="22">
        <f>B8*0.1</f>
        <v>4.454</v>
      </c>
      <c r="D8" s="22">
        <v>400</v>
      </c>
      <c r="E8" s="84">
        <f t="shared" si="2"/>
        <v>2.050027793218455</v>
      </c>
      <c r="F8" s="84">
        <f>B8+E8+C8</f>
        <v>51.044027793218454</v>
      </c>
      <c r="G8" s="145">
        <f>F8*$G$1</f>
        <v>3903.336805347415</v>
      </c>
      <c r="H8" s="151">
        <f>3816+87</f>
        <v>3903</v>
      </c>
      <c r="I8" s="146">
        <f>H8-G8</f>
        <v>-0.3368053474150656</v>
      </c>
    </row>
    <row r="9" spans="1:9" s="8" customFormat="1" ht="15">
      <c r="A9" s="104" t="s">
        <v>876</v>
      </c>
      <c r="B9" s="22">
        <v>9.08</v>
      </c>
      <c r="C9" s="22">
        <f>B9*0.1</f>
        <v>0.908</v>
      </c>
      <c r="D9" s="22">
        <v>170</v>
      </c>
      <c r="E9" s="84">
        <f t="shared" si="2"/>
        <v>0.8712618121178433</v>
      </c>
      <c r="F9" s="84">
        <f>B9+E9+C9</f>
        <v>10.859261812117843</v>
      </c>
      <c r="G9" s="145">
        <f>F9*$G$1</f>
        <v>830.4077507726514</v>
      </c>
      <c r="H9" s="151">
        <f>793+37</f>
        <v>830</v>
      </c>
      <c r="I9" s="146">
        <f>H9-G9</f>
        <v>-0.40775077265141135</v>
      </c>
    </row>
    <row r="10" spans="1:9" s="15" customFormat="1" ht="15">
      <c r="A10" s="103" t="s">
        <v>877</v>
      </c>
      <c r="B10" s="22">
        <v>26.16</v>
      </c>
      <c r="C10" s="22">
        <f t="shared" si="0"/>
        <v>2.616</v>
      </c>
      <c r="D10" s="22">
        <v>420</v>
      </c>
      <c r="E10" s="84">
        <f t="shared" si="2"/>
        <v>2.1525291828793773</v>
      </c>
      <c r="F10" s="84">
        <f t="shared" si="3"/>
        <v>30.928529182879377</v>
      </c>
      <c r="G10" s="145">
        <f t="shared" si="1"/>
        <v>2365.104626614786</v>
      </c>
      <c r="H10" s="151">
        <f>2342+23</f>
        <v>2365</v>
      </c>
      <c r="I10" s="146">
        <f t="shared" si="4"/>
        <v>-0.10462661478595692</v>
      </c>
    </row>
    <row r="11" spans="1:9" s="15" customFormat="1" ht="15">
      <c r="A11" s="103" t="s">
        <v>519</v>
      </c>
      <c r="B11" s="22">
        <v>10.75</v>
      </c>
      <c r="C11" s="22">
        <f>B11*0.1</f>
        <v>1.075</v>
      </c>
      <c r="D11" s="22">
        <v>70</v>
      </c>
      <c r="E11" s="84">
        <f t="shared" si="2"/>
        <v>0.3587548638132296</v>
      </c>
      <c r="F11" s="84">
        <f t="shared" si="3"/>
        <v>12.18375486381323</v>
      </c>
      <c r="G11" s="145">
        <f t="shared" si="1"/>
        <v>931.6917344357977</v>
      </c>
      <c r="H11" s="151">
        <f>911+21</f>
        <v>932</v>
      </c>
      <c r="I11" s="146">
        <f>H11-G11</f>
        <v>0.30826556420231555</v>
      </c>
    </row>
    <row r="12" spans="1:9" s="15" customFormat="1" ht="15">
      <c r="A12" s="103" t="s">
        <v>874</v>
      </c>
      <c r="B12" s="22">
        <v>30.94</v>
      </c>
      <c r="C12" s="22">
        <f t="shared" si="0"/>
        <v>3.0940000000000003</v>
      </c>
      <c r="D12" s="22">
        <v>1020</v>
      </c>
      <c r="E12" s="84">
        <f t="shared" si="2"/>
        <v>5.22757087270706</v>
      </c>
      <c r="F12" s="84">
        <f t="shared" si="3"/>
        <v>39.26157087270706</v>
      </c>
      <c r="G12" s="145">
        <f t="shared" si="1"/>
        <v>3002.332324635909</v>
      </c>
      <c r="H12" s="151">
        <f>2911+91</f>
        <v>3002</v>
      </c>
      <c r="I12" s="146">
        <f t="shared" si="4"/>
        <v>-0.3323246359091172</v>
      </c>
    </row>
    <row r="13" spans="1:9" s="15" customFormat="1" ht="15">
      <c r="A13" s="103" t="s">
        <v>824</v>
      </c>
      <c r="B13" s="22">
        <v>18.67</v>
      </c>
      <c r="C13" s="22">
        <f>B13*0.1</f>
        <v>1.8670000000000002</v>
      </c>
      <c r="D13" s="22">
        <v>675</v>
      </c>
      <c r="E13" s="84">
        <f>D13/$D$15*$E$15</f>
        <v>3.4594219010561424</v>
      </c>
      <c r="F13" s="84">
        <f>B13+E13+C13</f>
        <v>23.996421901056145</v>
      </c>
      <c r="G13" s="145">
        <f>F13*$G$1</f>
        <v>1835.0063827737633</v>
      </c>
      <c r="H13" s="151">
        <f>1787+48</f>
        <v>1835</v>
      </c>
      <c r="I13" s="146">
        <f>H13-G13</f>
        <v>-0.006382773763334626</v>
      </c>
    </row>
    <row r="14" spans="1:10" s="8" customFormat="1" ht="15">
      <c r="A14" s="103" t="s">
        <v>224</v>
      </c>
      <c r="B14" s="85"/>
      <c r="C14" s="85"/>
      <c r="D14" s="22">
        <v>4210</v>
      </c>
      <c r="E14" s="84">
        <f>D14/$D$15*$E$15</f>
        <v>21.576542523624237</v>
      </c>
      <c r="F14" s="85"/>
      <c r="G14" s="28"/>
      <c r="H14" s="152"/>
      <c r="I14" s="28"/>
      <c r="J14" s="32"/>
    </row>
    <row r="15" spans="1:9" s="8" customFormat="1" ht="15">
      <c r="A15" s="25"/>
      <c r="B15" s="86"/>
      <c r="C15" s="86"/>
      <c r="D15" s="86">
        <f>SUM(D4:D14)</f>
        <v>8995</v>
      </c>
      <c r="E15" s="1">
        <v>46.1</v>
      </c>
      <c r="F15" s="113"/>
      <c r="G15" s="28"/>
      <c r="H15" s="28"/>
      <c r="I15" s="28"/>
    </row>
    <row r="17" ht="15">
      <c r="A17" s="141" t="s">
        <v>486</v>
      </c>
    </row>
    <row r="18" spans="1:2" ht="31.5">
      <c r="A18" s="117" t="s">
        <v>824</v>
      </c>
      <c r="B18" s="141" t="s">
        <v>878</v>
      </c>
    </row>
  </sheetData>
  <sheetProtection/>
  <hyperlinks>
    <hyperlink ref="B18" r:id="rId1" display="http://www.cocooncenter.com/mustela-stelatopia-creme-emolliente-400-ml/450.html"/>
  </hyperlink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205</v>
      </c>
      <c r="B1" s="10">
        <v>42515</v>
      </c>
      <c r="C1" s="10"/>
      <c r="D1" s="10"/>
      <c r="E1" s="10"/>
      <c r="F1" s="11" t="s">
        <v>206</v>
      </c>
      <c r="G1" s="106">
        <v>75.83</v>
      </c>
      <c r="H1" s="8" t="s">
        <v>207</v>
      </c>
    </row>
    <row r="2" s="8" customFormat="1" ht="23.25" customHeight="1">
      <c r="A2" s="33" t="s">
        <v>880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418</v>
      </c>
      <c r="B4" s="22">
        <v>39.09</v>
      </c>
      <c r="C4" s="22">
        <f>B4*0.1</f>
        <v>3.9090000000000007</v>
      </c>
      <c r="D4" s="22">
        <v>290</v>
      </c>
      <c r="E4" s="84">
        <f>D4/$D$7*$E$7</f>
        <v>1.5021348314606742</v>
      </c>
      <c r="F4" s="84">
        <f>B4+E4+C4</f>
        <v>44.501134831460675</v>
      </c>
      <c r="G4" s="145">
        <f>F4*$G$1</f>
        <v>3374.5210542696627</v>
      </c>
      <c r="H4" s="151">
        <v>3323</v>
      </c>
      <c r="I4" s="146">
        <f>H4-G4</f>
        <v>-51.52105426966273</v>
      </c>
    </row>
    <row r="5" spans="1:9" s="15" customFormat="1" ht="15">
      <c r="A5" s="103" t="s">
        <v>174</v>
      </c>
      <c r="B5" s="22">
        <v>26.42</v>
      </c>
      <c r="C5" s="22">
        <f>B5*0.1</f>
        <v>2.6420000000000003</v>
      </c>
      <c r="D5" s="22">
        <v>650</v>
      </c>
      <c r="E5" s="84">
        <f>D5/$D$7*$E$7</f>
        <v>3.3668539325842697</v>
      </c>
      <c r="F5" s="84">
        <f>B5+E5+C5</f>
        <v>32.428853932584275</v>
      </c>
      <c r="G5" s="145">
        <f>F5*$G$1</f>
        <v>2459.0799937078655</v>
      </c>
      <c r="H5" s="151">
        <v>2437</v>
      </c>
      <c r="I5" s="146">
        <f>H5-G5</f>
        <v>-22.07999370786547</v>
      </c>
    </row>
    <row r="6" spans="1:10" s="8" customFormat="1" ht="15">
      <c r="A6" s="103" t="s">
        <v>224</v>
      </c>
      <c r="B6" s="85"/>
      <c r="C6" s="85"/>
      <c r="D6" s="22">
        <v>7960</v>
      </c>
      <c r="E6" s="84">
        <f>D6/$D$7*$E$7</f>
        <v>41.23101123595506</v>
      </c>
      <c r="F6" s="85"/>
      <c r="G6" s="28"/>
      <c r="H6" s="152"/>
      <c r="I6" s="28"/>
      <c r="J6" s="32"/>
    </row>
    <row r="7" spans="1:9" s="8" customFormat="1" ht="15">
      <c r="A7" s="25"/>
      <c r="B7" s="86"/>
      <c r="C7" s="86"/>
      <c r="D7" s="86">
        <f>SUM(D4:D6)</f>
        <v>8900</v>
      </c>
      <c r="E7" s="1">
        <v>46.1</v>
      </c>
      <c r="F7" s="113"/>
      <c r="G7" s="28"/>
      <c r="H7" s="28"/>
      <c r="I7" s="28"/>
    </row>
    <row r="9" ht="28.5">
      <c r="A9" s="107"/>
    </row>
    <row r="10" ht="28.5">
      <c r="A10" s="107"/>
    </row>
    <row r="11" ht="15">
      <c r="A11" s="141"/>
    </row>
    <row r="12" spans="1:2" ht="15">
      <c r="A12" s="141"/>
      <c r="B12" s="141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205</v>
      </c>
      <c r="B1" s="10">
        <v>42524</v>
      </c>
      <c r="C1" s="10"/>
      <c r="D1" s="10"/>
      <c r="E1" s="10"/>
      <c r="F1" s="11" t="s">
        <v>206</v>
      </c>
      <c r="G1" s="106">
        <v>76.16</v>
      </c>
      <c r="H1" s="8" t="s">
        <v>207</v>
      </c>
    </row>
    <row r="2" s="8" customFormat="1" ht="23.25" customHeight="1">
      <c r="A2" s="33" t="s">
        <v>881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118</v>
      </c>
      <c r="B4" s="22">
        <v>14.84</v>
      </c>
      <c r="C4" s="22">
        <f aca="true" t="shared" si="0" ref="C4:C11">B4*0.1</f>
        <v>1.484</v>
      </c>
      <c r="D4" s="22">
        <v>350</v>
      </c>
      <c r="E4" s="84">
        <f aca="true" t="shared" si="1" ref="E4:E12">D4/$D$13*$E$13</f>
        <v>1.5738993710691824</v>
      </c>
      <c r="F4" s="84">
        <f aca="true" t="shared" si="2" ref="F4:F11">B4+E4+C4</f>
        <v>17.89789937106918</v>
      </c>
      <c r="G4" s="145">
        <f aca="true" t="shared" si="3" ref="G4:G11">F4*$G$1</f>
        <v>1363.1040161006288</v>
      </c>
      <c r="H4" s="151">
        <v>1312</v>
      </c>
      <c r="I4" s="146">
        <f aca="true" t="shared" si="4" ref="I4:I11">H4-G4</f>
        <v>-51.10401610062877</v>
      </c>
    </row>
    <row r="5" spans="1:9" s="15" customFormat="1" ht="15">
      <c r="A5" s="103" t="s">
        <v>882</v>
      </c>
      <c r="B5" s="22">
        <v>40.75</v>
      </c>
      <c r="C5" s="22">
        <f t="shared" si="0"/>
        <v>4.075</v>
      </c>
      <c r="D5" s="22">
        <v>150</v>
      </c>
      <c r="E5" s="84">
        <f t="shared" si="1"/>
        <v>0.6745283018867925</v>
      </c>
      <c r="F5" s="84">
        <f t="shared" si="2"/>
        <v>45.4995283018868</v>
      </c>
      <c r="G5" s="145">
        <f t="shared" si="3"/>
        <v>3465.2440754716986</v>
      </c>
      <c r="H5" s="151">
        <v>3455</v>
      </c>
      <c r="I5" s="146">
        <f t="shared" si="4"/>
        <v>-10.24407547169858</v>
      </c>
    </row>
    <row r="6" spans="1:9" s="8" customFormat="1" ht="15">
      <c r="A6" s="104" t="s">
        <v>11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0.6295597484276729</v>
      </c>
      <c r="F6" s="84">
        <f t="shared" si="2"/>
        <v>11.541559748427673</v>
      </c>
      <c r="G6" s="145">
        <f t="shared" si="3"/>
        <v>879.0051904402516</v>
      </c>
      <c r="H6" s="151">
        <v>878</v>
      </c>
      <c r="I6" s="146">
        <f t="shared" si="4"/>
        <v>-1.0051904402515675</v>
      </c>
    </row>
    <row r="7" spans="1:9" s="15" customFormat="1" ht="15">
      <c r="A7" s="103" t="s">
        <v>883</v>
      </c>
      <c r="B7" s="22">
        <v>9.92</v>
      </c>
      <c r="C7" s="22">
        <f t="shared" si="0"/>
        <v>0.992</v>
      </c>
      <c r="D7" s="22">
        <v>140</v>
      </c>
      <c r="E7" s="84">
        <f t="shared" si="1"/>
        <v>0.6295597484276729</v>
      </c>
      <c r="F7" s="84">
        <f t="shared" si="2"/>
        <v>11.541559748427673</v>
      </c>
      <c r="G7" s="145">
        <f t="shared" si="3"/>
        <v>879.0051904402516</v>
      </c>
      <c r="H7" s="151">
        <v>878</v>
      </c>
      <c r="I7" s="146">
        <f t="shared" si="4"/>
        <v>-1.0051904402515675</v>
      </c>
    </row>
    <row r="8" spans="1:9" s="15" customFormat="1" ht="15">
      <c r="A8" s="103" t="s">
        <v>884</v>
      </c>
      <c r="B8" s="22">
        <v>11.18</v>
      </c>
      <c r="C8" s="22">
        <f t="shared" si="0"/>
        <v>1.118</v>
      </c>
      <c r="D8" s="22">
        <v>350</v>
      </c>
      <c r="E8" s="84">
        <f t="shared" si="1"/>
        <v>1.5738993710691824</v>
      </c>
      <c r="F8" s="84">
        <f t="shared" si="2"/>
        <v>13.871899371069182</v>
      </c>
      <c r="G8" s="145">
        <f t="shared" si="3"/>
        <v>1056.4838561006288</v>
      </c>
      <c r="H8" s="151">
        <v>1059</v>
      </c>
      <c r="I8" s="146">
        <f t="shared" si="4"/>
        <v>2.5161438993711727</v>
      </c>
    </row>
    <row r="9" spans="1:9" s="8" customFormat="1" ht="15">
      <c r="A9" s="104" t="s">
        <v>885</v>
      </c>
      <c r="B9" s="22">
        <v>9.08</v>
      </c>
      <c r="C9" s="22">
        <f t="shared" si="0"/>
        <v>0.908</v>
      </c>
      <c r="D9" s="22">
        <v>65</v>
      </c>
      <c r="E9" s="84">
        <f t="shared" si="1"/>
        <v>0.2922955974842767</v>
      </c>
      <c r="F9" s="84">
        <f t="shared" si="2"/>
        <v>10.280295597484276</v>
      </c>
      <c r="G9" s="145">
        <f t="shared" si="3"/>
        <v>782.9473127044024</v>
      </c>
      <c r="H9" s="151">
        <v>785</v>
      </c>
      <c r="I9" s="146">
        <f t="shared" si="4"/>
        <v>2.052687295597593</v>
      </c>
    </row>
    <row r="10" spans="1:9" s="15" customFormat="1" ht="15">
      <c r="A10" s="103" t="s">
        <v>600</v>
      </c>
      <c r="B10" s="22">
        <v>73.17</v>
      </c>
      <c r="C10" s="22">
        <f t="shared" si="0"/>
        <v>7.317</v>
      </c>
      <c r="D10" s="22">
        <v>350</v>
      </c>
      <c r="E10" s="84">
        <f t="shared" si="1"/>
        <v>1.5738993710691824</v>
      </c>
      <c r="F10" s="84">
        <f t="shared" si="2"/>
        <v>82.06089937106918</v>
      </c>
      <c r="G10" s="145">
        <f t="shared" si="3"/>
        <v>6249.758096100629</v>
      </c>
      <c r="H10" s="151">
        <v>6263</v>
      </c>
      <c r="I10" s="146">
        <f t="shared" si="4"/>
        <v>13.24190389937121</v>
      </c>
    </row>
    <row r="11" spans="1:9" s="15" customFormat="1" ht="15">
      <c r="A11" s="103" t="s">
        <v>584</v>
      </c>
      <c r="B11" s="22">
        <v>11.21</v>
      </c>
      <c r="C11" s="22">
        <f t="shared" si="0"/>
        <v>1.1210000000000002</v>
      </c>
      <c r="D11" s="22">
        <v>480</v>
      </c>
      <c r="E11" s="84">
        <f t="shared" si="1"/>
        <v>2.158490566037736</v>
      </c>
      <c r="F11" s="84">
        <f t="shared" si="2"/>
        <v>14.489490566037738</v>
      </c>
      <c r="G11" s="145">
        <f t="shared" si="3"/>
        <v>1103.519601509434</v>
      </c>
      <c r="H11" s="151">
        <v>1107</v>
      </c>
      <c r="I11" s="146">
        <f t="shared" si="4"/>
        <v>3.4803984905659036</v>
      </c>
    </row>
    <row r="12" spans="1:10" s="8" customFormat="1" ht="15">
      <c r="A12" s="103" t="s">
        <v>224</v>
      </c>
      <c r="B12" s="85"/>
      <c r="C12" s="85"/>
      <c r="D12" s="22">
        <v>7515</v>
      </c>
      <c r="E12" s="84">
        <f t="shared" si="1"/>
        <v>33.7938679245283</v>
      </c>
      <c r="F12" s="85"/>
      <c r="G12" s="28"/>
      <c r="H12" s="152"/>
      <c r="I12" s="28"/>
      <c r="J12" s="32"/>
    </row>
    <row r="13" spans="1:9" s="8" customFormat="1" ht="15">
      <c r="A13" s="25"/>
      <c r="B13" s="86"/>
      <c r="C13" s="86"/>
      <c r="D13" s="86">
        <f>SUM(D4:D12)</f>
        <v>9540</v>
      </c>
      <c r="E13" s="1">
        <v>42.9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205</v>
      </c>
      <c r="B1" s="10">
        <v>42537</v>
      </c>
      <c r="C1" s="10"/>
      <c r="D1" s="10"/>
      <c r="E1" s="10"/>
      <c r="F1" s="11" t="s">
        <v>206</v>
      </c>
      <c r="G1" s="106">
        <v>75.782</v>
      </c>
      <c r="H1" s="8" t="s">
        <v>207</v>
      </c>
    </row>
    <row r="2" s="8" customFormat="1" ht="23.25" customHeight="1">
      <c r="A2" s="33" t="s">
        <v>888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890</v>
      </c>
      <c r="B4" s="22">
        <v>8.25</v>
      </c>
      <c r="C4" s="22">
        <f aca="true" t="shared" si="0" ref="C4:C11">B4*0.1</f>
        <v>0.8250000000000001</v>
      </c>
      <c r="D4" s="22">
        <v>30</v>
      </c>
      <c r="E4" s="84">
        <f aca="true" t="shared" si="1" ref="E4:E13">D4/$D$14*$E$14</f>
        <v>0.12048280907095829</v>
      </c>
      <c r="F4" s="84">
        <f>B4+E4+C4</f>
        <v>9.195482809070958</v>
      </c>
      <c r="G4" s="145">
        <f aca="true" t="shared" si="2" ref="G4:G11">F4*$G$1</f>
        <v>696.8520782370153</v>
      </c>
      <c r="H4" s="151">
        <f>604+90</f>
        <v>694</v>
      </c>
      <c r="I4" s="146">
        <f aca="true" t="shared" si="3" ref="I4:I11">H4-G4</f>
        <v>-2.8520782370153483</v>
      </c>
    </row>
    <row r="5" spans="1:9" s="15" customFormat="1" ht="15">
      <c r="A5" s="103" t="s">
        <v>155</v>
      </c>
      <c r="B5" s="22">
        <v>7.46</v>
      </c>
      <c r="C5" s="22">
        <f t="shared" si="0"/>
        <v>0.746</v>
      </c>
      <c r="D5" s="22">
        <v>480</v>
      </c>
      <c r="E5" s="84">
        <f t="shared" si="1"/>
        <v>1.9277249451353327</v>
      </c>
      <c r="F5" s="84">
        <f aca="true" t="shared" si="4" ref="F5:F11">B5+E5+C5</f>
        <v>10.133724945135333</v>
      </c>
      <c r="G5" s="145">
        <f t="shared" si="2"/>
        <v>767.9539437922457</v>
      </c>
      <c r="H5" s="151">
        <v>797</v>
      </c>
      <c r="I5" s="146">
        <f t="shared" si="3"/>
        <v>29.046056207754305</v>
      </c>
    </row>
    <row r="6" spans="1:9" s="8" customFormat="1" ht="15">
      <c r="A6" s="104" t="s">
        <v>891</v>
      </c>
      <c r="B6" s="22">
        <v>16.58</v>
      </c>
      <c r="C6" s="22">
        <f t="shared" si="0"/>
        <v>1.658</v>
      </c>
      <c r="D6" s="22">
        <v>1150</v>
      </c>
      <c r="E6" s="84">
        <f t="shared" si="1"/>
        <v>4.618507681053401</v>
      </c>
      <c r="F6" s="84">
        <f t="shared" si="4"/>
        <v>22.8565076810534</v>
      </c>
      <c r="G6" s="145">
        <f t="shared" si="2"/>
        <v>1732.1118650855888</v>
      </c>
      <c r="H6" s="151">
        <v>1726</v>
      </c>
      <c r="I6" s="146">
        <f t="shared" si="3"/>
        <v>-6.111865085588761</v>
      </c>
    </row>
    <row r="7" spans="1:9" s="15" customFormat="1" ht="15">
      <c r="A7" s="103" t="s">
        <v>746</v>
      </c>
      <c r="B7" s="22">
        <v>12.42</v>
      </c>
      <c r="C7" s="22">
        <f t="shared" si="0"/>
        <v>1.242</v>
      </c>
      <c r="D7" s="22">
        <v>360</v>
      </c>
      <c r="E7" s="84">
        <f t="shared" si="1"/>
        <v>1.4457937088514996</v>
      </c>
      <c r="F7" s="84">
        <f t="shared" si="4"/>
        <v>15.1077937088515</v>
      </c>
      <c r="G7" s="145">
        <f t="shared" si="2"/>
        <v>1144.8988228441842</v>
      </c>
      <c r="H7" s="151">
        <f>1112+23</f>
        <v>1135</v>
      </c>
      <c r="I7" s="146">
        <f t="shared" si="3"/>
        <v>-9.898822844184224</v>
      </c>
    </row>
    <row r="8" spans="1:9" s="15" customFormat="1" ht="15">
      <c r="A8" s="103" t="s">
        <v>892</v>
      </c>
      <c r="B8" s="22">
        <v>18.25</v>
      </c>
      <c r="C8" s="22">
        <f t="shared" si="0"/>
        <v>1.8250000000000002</v>
      </c>
      <c r="D8" s="22">
        <v>480</v>
      </c>
      <c r="E8" s="84">
        <f t="shared" si="1"/>
        <v>1.9277249451353327</v>
      </c>
      <c r="F8" s="84">
        <f t="shared" si="4"/>
        <v>22.00272494513533</v>
      </c>
      <c r="G8" s="145">
        <f t="shared" si="2"/>
        <v>1667.4105017922454</v>
      </c>
      <c r="H8" s="151">
        <f>1651+16</f>
        <v>1667</v>
      </c>
      <c r="I8" s="146">
        <f t="shared" si="3"/>
        <v>-0.4105017922454408</v>
      </c>
    </row>
    <row r="9" spans="1:9" s="8" customFormat="1" ht="15">
      <c r="A9" s="104" t="s">
        <v>118</v>
      </c>
      <c r="B9" s="22">
        <v>9.92</v>
      </c>
      <c r="C9" s="22">
        <f t="shared" si="0"/>
        <v>0.992</v>
      </c>
      <c r="D9" s="22">
        <v>80</v>
      </c>
      <c r="E9" s="84">
        <f t="shared" si="1"/>
        <v>0.3212874908558888</v>
      </c>
      <c r="F9" s="84">
        <f t="shared" si="4"/>
        <v>11.23328749085589</v>
      </c>
      <c r="G9" s="145">
        <f t="shared" si="2"/>
        <v>851.280992632041</v>
      </c>
      <c r="H9" s="151">
        <f>896+4</f>
        <v>900</v>
      </c>
      <c r="I9" s="146">
        <f t="shared" si="3"/>
        <v>48.719007367958966</v>
      </c>
    </row>
    <row r="10" spans="1:9" s="15" customFormat="1" ht="15">
      <c r="A10" s="103" t="s">
        <v>102</v>
      </c>
      <c r="B10" s="22">
        <v>14.5</v>
      </c>
      <c r="C10" s="22">
        <f t="shared" si="0"/>
        <v>1.4500000000000002</v>
      </c>
      <c r="D10" s="22">
        <v>1380</v>
      </c>
      <c r="E10" s="84">
        <f t="shared" si="1"/>
        <v>5.542209217264082</v>
      </c>
      <c r="F10" s="84">
        <f t="shared" si="4"/>
        <v>21.49220921726408</v>
      </c>
      <c r="G10" s="145">
        <f t="shared" si="2"/>
        <v>1628.7225989027063</v>
      </c>
      <c r="H10" s="151">
        <f>1624+5</f>
        <v>1629</v>
      </c>
      <c r="I10" s="146">
        <f t="shared" si="3"/>
        <v>0.2774010972937049</v>
      </c>
    </row>
    <row r="11" spans="1:9" s="15" customFormat="1" ht="15">
      <c r="A11" s="103" t="s">
        <v>723</v>
      </c>
      <c r="B11" s="22">
        <v>97.51</v>
      </c>
      <c r="C11" s="22">
        <f t="shared" si="0"/>
        <v>9.751000000000001</v>
      </c>
      <c r="D11" s="22">
        <v>2760</v>
      </c>
      <c r="E11" s="84">
        <f t="shared" si="1"/>
        <v>11.084418434528164</v>
      </c>
      <c r="F11" s="84">
        <f t="shared" si="4"/>
        <v>118.34541843452817</v>
      </c>
      <c r="G11" s="145">
        <f t="shared" si="2"/>
        <v>8968.452499805413</v>
      </c>
      <c r="H11" s="151">
        <v>8907</v>
      </c>
      <c r="I11" s="146">
        <f t="shared" si="3"/>
        <v>-61.45249980541303</v>
      </c>
    </row>
    <row r="12" spans="1:9" s="15" customFormat="1" ht="15">
      <c r="A12" s="103" t="s">
        <v>95</v>
      </c>
      <c r="B12" s="22">
        <v>39.91</v>
      </c>
      <c r="C12" s="22">
        <f>B12*0.1</f>
        <v>3.9909999999999997</v>
      </c>
      <c r="D12" s="22">
        <v>350</v>
      </c>
      <c r="E12" s="84">
        <f>D12/$D$14*$E$14</f>
        <v>1.4056327724945135</v>
      </c>
      <c r="F12" s="84">
        <f>B12+E12+C12</f>
        <v>45.30663277249451</v>
      </c>
      <c r="G12" s="145">
        <f>F12*$G$1</f>
        <v>3433.427244765179</v>
      </c>
      <c r="H12" s="151">
        <f>3406+28</f>
        <v>3434</v>
      </c>
      <c r="I12" s="146">
        <f>H12-G12</f>
        <v>0.5727552348212157</v>
      </c>
    </row>
    <row r="13" spans="1:10" s="8" customFormat="1" ht="15">
      <c r="A13" s="103" t="s">
        <v>224</v>
      </c>
      <c r="B13" s="85"/>
      <c r="C13" s="85"/>
      <c r="D13" s="22">
        <v>6600</v>
      </c>
      <c r="E13" s="84">
        <f t="shared" si="1"/>
        <v>26.506217995610825</v>
      </c>
      <c r="F13" s="85"/>
      <c r="G13" s="28"/>
      <c r="H13" s="152"/>
      <c r="I13" s="28"/>
      <c r="J13" s="32"/>
    </row>
    <row r="14" spans="1:9" s="8" customFormat="1" ht="15">
      <c r="A14" s="25"/>
      <c r="B14" s="86"/>
      <c r="C14" s="86"/>
      <c r="D14" s="86">
        <f>SUM(D4:D13)</f>
        <v>13670</v>
      </c>
      <c r="E14" s="1">
        <v>54.9</v>
      </c>
      <c r="F14" s="113"/>
      <c r="G14" s="28"/>
      <c r="H14" s="28"/>
      <c r="I14" s="28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80" zoomScaleNormal="80" zoomScalePageLayoutView="0" workbookViewId="0" topLeftCell="A1">
      <selection activeCell="A11" sqref="A11:IV11"/>
    </sheetView>
  </sheetViews>
  <sheetFormatPr defaultColWidth="9.140625" defaultRowHeight="15"/>
  <cols>
    <col min="1" max="1" width="20.28125" style="0" customWidth="1"/>
    <col min="2" max="2" width="20.140625" style="0" customWidth="1"/>
    <col min="5" max="5" width="10.7109375" style="0" customWidth="1"/>
    <col min="8" max="8" width="11.421875" style="0" customWidth="1"/>
    <col min="9" max="9" width="10.8515625" style="0" customWidth="1"/>
  </cols>
  <sheetData>
    <row r="1" spans="1:8" s="8" customFormat="1" ht="21.75" customHeight="1">
      <c r="A1" s="9" t="s">
        <v>205</v>
      </c>
      <c r="B1" s="10">
        <v>42550</v>
      </c>
      <c r="C1" s="10"/>
      <c r="D1" s="10"/>
      <c r="E1" s="10"/>
      <c r="F1" s="11" t="s">
        <v>206</v>
      </c>
      <c r="G1" s="106">
        <v>73.3</v>
      </c>
      <c r="H1" s="8" t="s">
        <v>207</v>
      </c>
    </row>
    <row r="2" s="8" customFormat="1" ht="23.25" customHeight="1">
      <c r="A2" s="33" t="s">
        <v>893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746</v>
      </c>
      <c r="B4" s="22">
        <v>5.32</v>
      </c>
      <c r="C4" s="22">
        <f aca="true" t="shared" si="0" ref="C4:C13">B4*0.1</f>
        <v>0.532</v>
      </c>
      <c r="D4" s="22">
        <v>570</v>
      </c>
      <c r="E4" s="84">
        <f aca="true" t="shared" si="1" ref="E4:E14">D4/$D$15*$E$15</f>
        <v>2.25942238267148</v>
      </c>
      <c r="F4" s="84">
        <f>B4+E4+C4</f>
        <v>8.111422382671481</v>
      </c>
      <c r="G4" s="145">
        <f aca="true" t="shared" si="2" ref="G4:G12">F4*$G$1</f>
        <v>594.5672606498196</v>
      </c>
      <c r="H4" s="151">
        <v>607</v>
      </c>
      <c r="I4" s="146">
        <f aca="true" t="shared" si="3" ref="I4:I13">H4-G4</f>
        <v>12.43273935018044</v>
      </c>
    </row>
    <row r="5" spans="1:9" s="15" customFormat="1" ht="15">
      <c r="A5" s="103" t="s">
        <v>894</v>
      </c>
      <c r="B5" s="22">
        <v>8.72</v>
      </c>
      <c r="C5" s="22">
        <f t="shared" si="0"/>
        <v>0.8720000000000001</v>
      </c>
      <c r="D5" s="22">
        <v>180</v>
      </c>
      <c r="E5" s="84">
        <f t="shared" si="1"/>
        <v>0.7135018050541516</v>
      </c>
      <c r="F5" s="84">
        <f aca="true" t="shared" si="4" ref="F5:F13">B5+E5+C5</f>
        <v>10.305501805054153</v>
      </c>
      <c r="G5" s="145">
        <f t="shared" si="2"/>
        <v>755.3932823104693</v>
      </c>
      <c r="H5" s="151">
        <v>758</v>
      </c>
      <c r="I5" s="146">
        <f t="shared" si="3"/>
        <v>2.606717689530683</v>
      </c>
    </row>
    <row r="6" spans="1:9" s="8" customFormat="1" ht="15">
      <c r="A6" s="104" t="s">
        <v>413</v>
      </c>
      <c r="B6" s="22">
        <v>18.16</v>
      </c>
      <c r="C6" s="22">
        <f t="shared" si="0"/>
        <v>1.816</v>
      </c>
      <c r="D6" s="22">
        <v>235</v>
      </c>
      <c r="E6" s="84">
        <f t="shared" si="1"/>
        <v>0.9315162454873647</v>
      </c>
      <c r="F6" s="84">
        <f t="shared" si="4"/>
        <v>20.907516245487365</v>
      </c>
      <c r="G6" s="145">
        <f t="shared" si="2"/>
        <v>1532.5209407942239</v>
      </c>
      <c r="H6" s="151">
        <v>1535</v>
      </c>
      <c r="I6" s="146">
        <f t="shared" si="3"/>
        <v>2.4790592057761387</v>
      </c>
    </row>
    <row r="7" spans="1:9" s="15" customFormat="1" ht="15">
      <c r="A7" s="103" t="s">
        <v>49</v>
      </c>
      <c r="B7" s="22">
        <v>20.75</v>
      </c>
      <c r="C7" s="22">
        <f t="shared" si="0"/>
        <v>2.075</v>
      </c>
      <c r="D7" s="22">
        <v>730</v>
      </c>
      <c r="E7" s="84">
        <f t="shared" si="1"/>
        <v>2.8936462093862816</v>
      </c>
      <c r="F7" s="84">
        <f t="shared" si="4"/>
        <v>25.718646209386282</v>
      </c>
      <c r="G7" s="145">
        <f t="shared" si="2"/>
        <v>1885.1767671480145</v>
      </c>
      <c r="H7" s="151">
        <v>1891</v>
      </c>
      <c r="I7" s="146">
        <f t="shared" si="3"/>
        <v>5.823232851985495</v>
      </c>
    </row>
    <row r="8" spans="1:9" s="15" customFormat="1" ht="15">
      <c r="A8" s="103" t="s">
        <v>418</v>
      </c>
      <c r="B8" s="22">
        <v>51.68</v>
      </c>
      <c r="C8" s="22">
        <f>B8*0.1</f>
        <v>5.168</v>
      </c>
      <c r="D8" s="22">
        <v>440</v>
      </c>
      <c r="E8" s="84">
        <f t="shared" si="1"/>
        <v>1.744115523465704</v>
      </c>
      <c r="F8" s="84">
        <f>B8+E8+C8</f>
        <v>58.5921155234657</v>
      </c>
      <c r="G8" s="145">
        <f>F8*$G$1</f>
        <v>4294.802067870036</v>
      </c>
      <c r="H8" s="153">
        <v>4334</v>
      </c>
      <c r="I8" s="146">
        <f>H8-G8</f>
        <v>39.1979321299641</v>
      </c>
    </row>
    <row r="9" spans="1:9" s="15" customFormat="1" ht="15">
      <c r="A9" s="103" t="s">
        <v>739</v>
      </c>
      <c r="B9" s="22">
        <v>16.54</v>
      </c>
      <c r="C9" s="22">
        <f>B9*0.1</f>
        <v>1.654</v>
      </c>
      <c r="D9" s="22">
        <v>570</v>
      </c>
      <c r="E9" s="84">
        <f t="shared" si="1"/>
        <v>2.25942238267148</v>
      </c>
      <c r="F9" s="84">
        <f>B9+E9+C9</f>
        <v>20.45342238267148</v>
      </c>
      <c r="G9" s="145">
        <f>F9*$G$1</f>
        <v>1499.2358606498194</v>
      </c>
      <c r="H9" s="151">
        <v>1498</v>
      </c>
      <c r="I9" s="146">
        <f>H9-G9</f>
        <v>-1.235860649819415</v>
      </c>
    </row>
    <row r="10" spans="1:9" s="8" customFormat="1" ht="15">
      <c r="A10" s="104" t="s">
        <v>94</v>
      </c>
      <c r="B10" s="22">
        <v>11.34</v>
      </c>
      <c r="C10" s="22">
        <f>B10*0.1</f>
        <v>1.1340000000000001</v>
      </c>
      <c r="D10" s="22">
        <v>480</v>
      </c>
      <c r="E10" s="84">
        <f t="shared" si="1"/>
        <v>1.9026714801444042</v>
      </c>
      <c r="F10" s="84">
        <f>B10+E10+C10</f>
        <v>14.376671480144404</v>
      </c>
      <c r="G10" s="145">
        <f>F10*$G$1</f>
        <v>1053.8100194945848</v>
      </c>
      <c r="H10" s="151">
        <v>1058</v>
      </c>
      <c r="I10" s="146">
        <f>H10-G10</f>
        <v>4.189980505415178</v>
      </c>
    </row>
    <row r="11" spans="1:9" s="15" customFormat="1" ht="15">
      <c r="A11" s="103" t="s">
        <v>118</v>
      </c>
      <c r="B11" s="108">
        <v>7.49</v>
      </c>
      <c r="C11" s="22">
        <f>B11*0.1</f>
        <v>0.7490000000000001</v>
      </c>
      <c r="D11" s="22">
        <v>155</v>
      </c>
      <c r="E11" s="84">
        <f t="shared" si="1"/>
        <v>0.6144043321299638</v>
      </c>
      <c r="F11" s="84">
        <f>B11+E11+C11</f>
        <v>8.853404332129964</v>
      </c>
      <c r="G11" s="145">
        <f>F11*$G$1</f>
        <v>648.9545375451263</v>
      </c>
      <c r="H11" s="151">
        <v>634</v>
      </c>
      <c r="I11" s="146">
        <f>H11-G11</f>
        <v>-14.9545375451263</v>
      </c>
    </row>
    <row r="12" spans="1:9" s="15" customFormat="1" ht="15">
      <c r="A12" s="103" t="s">
        <v>860</v>
      </c>
      <c r="B12" s="22">
        <v>16.5</v>
      </c>
      <c r="C12" s="22">
        <f t="shared" si="0"/>
        <v>1.6500000000000001</v>
      </c>
      <c r="D12" s="22">
        <v>350</v>
      </c>
      <c r="E12" s="84">
        <f t="shared" si="1"/>
        <v>1.3873646209386281</v>
      </c>
      <c r="F12" s="84">
        <f t="shared" si="4"/>
        <v>19.537364620938625</v>
      </c>
      <c r="G12" s="145">
        <f t="shared" si="2"/>
        <v>1432.0888267148011</v>
      </c>
      <c r="H12" s="151">
        <v>1438</v>
      </c>
      <c r="I12" s="146">
        <f t="shared" si="3"/>
        <v>5.911173285198856</v>
      </c>
    </row>
    <row r="13" spans="1:9" s="8" customFormat="1" ht="15">
      <c r="A13" s="104" t="s">
        <v>127</v>
      </c>
      <c r="B13" s="22">
        <v>22.83</v>
      </c>
      <c r="C13" s="22">
        <f t="shared" si="0"/>
        <v>2.283</v>
      </c>
      <c r="D13" s="22">
        <v>135</v>
      </c>
      <c r="E13" s="84">
        <f t="shared" si="1"/>
        <v>0.5351263537906137</v>
      </c>
      <c r="F13" s="84">
        <f t="shared" si="4"/>
        <v>25.648126353790612</v>
      </c>
      <c r="G13" s="145">
        <f>F13*$G$1</f>
        <v>1880.0076617328518</v>
      </c>
      <c r="H13" s="151">
        <v>1875</v>
      </c>
      <c r="I13" s="146">
        <f t="shared" si="3"/>
        <v>-5.00766173285183</v>
      </c>
    </row>
    <row r="14" spans="1:10" s="8" customFormat="1" ht="15">
      <c r="A14" s="103" t="s">
        <v>224</v>
      </c>
      <c r="B14" s="85"/>
      <c r="C14" s="85"/>
      <c r="D14" s="22">
        <v>10005</v>
      </c>
      <c r="E14" s="84">
        <f t="shared" si="1"/>
        <v>39.65880866425993</v>
      </c>
      <c r="F14" s="85"/>
      <c r="G14" s="28"/>
      <c r="H14" s="152"/>
      <c r="I14" s="28"/>
      <c r="J14" s="32"/>
    </row>
    <row r="15" spans="1:9" s="8" customFormat="1" ht="15">
      <c r="A15" s="25"/>
      <c r="B15" s="86"/>
      <c r="C15" s="86"/>
      <c r="D15" s="86">
        <f>SUM(D4:D14)</f>
        <v>13850</v>
      </c>
      <c r="E15" s="1">
        <v>54.9</v>
      </c>
      <c r="F15" s="113"/>
      <c r="G15" s="28"/>
      <c r="H15" s="28"/>
      <c r="I15" s="28"/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9.8515625" style="0" customWidth="1"/>
    <col min="2" max="2" width="14.7109375" style="0" customWidth="1"/>
    <col min="8" max="8" width="10.8515625" style="0" customWidth="1"/>
  </cols>
  <sheetData>
    <row r="1" spans="1:10" s="8" customFormat="1" ht="21.75" customHeight="1">
      <c r="A1" s="9" t="s">
        <v>205</v>
      </c>
      <c r="B1" s="10">
        <v>42564</v>
      </c>
      <c r="C1" s="10"/>
      <c r="D1" s="10"/>
      <c r="E1" s="10"/>
      <c r="F1" s="11" t="s">
        <v>206</v>
      </c>
      <c r="G1" s="106">
        <v>72.2</v>
      </c>
      <c r="H1" s="8" t="s">
        <v>207</v>
      </c>
      <c r="J1" s="154"/>
    </row>
    <row r="2" s="8" customFormat="1" ht="23.25" customHeight="1">
      <c r="A2" s="33" t="s">
        <v>896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787</v>
      </c>
      <c r="B4" s="22">
        <v>5.75</v>
      </c>
      <c r="C4" s="22">
        <f aca="true" t="shared" si="0" ref="C4:C13">B4*0.1</f>
        <v>0.5750000000000001</v>
      </c>
      <c r="D4" s="22">
        <v>40</v>
      </c>
      <c r="E4" s="84">
        <f aca="true" t="shared" si="1" ref="E4:E17">D4/$D$18*$E$18</f>
        <v>0.17061611374407581</v>
      </c>
      <c r="F4" s="84">
        <f>B4+E4+C4</f>
        <v>6.495616113744076</v>
      </c>
      <c r="G4" s="145">
        <f aca="true" t="shared" si="2" ref="G4:G12">F4*$G$1</f>
        <v>468.98348341232236</v>
      </c>
      <c r="H4" s="151">
        <v>415</v>
      </c>
      <c r="I4" s="146">
        <f aca="true" t="shared" si="3" ref="I4:I13">H4-G4</f>
        <v>-53.98348341232236</v>
      </c>
    </row>
    <row r="5" spans="1:9" s="15" customFormat="1" ht="15">
      <c r="A5" s="103" t="s">
        <v>102</v>
      </c>
      <c r="B5" s="22">
        <v>17</v>
      </c>
      <c r="C5" s="22">
        <f t="shared" si="0"/>
        <v>1.7000000000000002</v>
      </c>
      <c r="D5" s="22">
        <v>105</v>
      </c>
      <c r="E5" s="84">
        <f t="shared" si="1"/>
        <v>0.44786729857819907</v>
      </c>
      <c r="F5" s="84">
        <f aca="true" t="shared" si="4" ref="F5:F13">B5+E5+C5</f>
        <v>19.1478672985782</v>
      </c>
      <c r="G5" s="145">
        <f t="shared" si="2"/>
        <v>1382.476018957346</v>
      </c>
      <c r="H5" s="151">
        <f>1375+7</f>
        <v>1382</v>
      </c>
      <c r="I5" s="146">
        <f t="shared" si="3"/>
        <v>-0.47601895734601385</v>
      </c>
    </row>
    <row r="6" spans="1:9" s="8" customFormat="1" ht="15">
      <c r="A6" s="104" t="s">
        <v>118</v>
      </c>
      <c r="B6" s="22">
        <v>14.98</v>
      </c>
      <c r="C6" s="22">
        <f t="shared" si="0"/>
        <v>1.4980000000000002</v>
      </c>
      <c r="D6" s="22">
        <v>306</v>
      </c>
      <c r="E6" s="84">
        <f t="shared" si="1"/>
        <v>1.30521327014218</v>
      </c>
      <c r="F6" s="84">
        <f t="shared" si="4"/>
        <v>17.78321327014218</v>
      </c>
      <c r="G6" s="145">
        <f t="shared" si="2"/>
        <v>1283.9479981042655</v>
      </c>
      <c r="H6" s="151">
        <f>1270+29</f>
        <v>1299</v>
      </c>
      <c r="I6" s="146">
        <f t="shared" si="3"/>
        <v>15.05200189573452</v>
      </c>
    </row>
    <row r="7" spans="1:9" s="15" customFormat="1" ht="15">
      <c r="A7" s="103" t="s">
        <v>897</v>
      </c>
      <c r="B7" s="22">
        <v>9.95</v>
      </c>
      <c r="C7" s="22">
        <f t="shared" si="0"/>
        <v>0.995</v>
      </c>
      <c r="D7" s="22">
        <v>180</v>
      </c>
      <c r="E7" s="84">
        <f t="shared" si="1"/>
        <v>0.7677725118483412</v>
      </c>
      <c r="F7" s="84">
        <f t="shared" si="4"/>
        <v>11.712772511848339</v>
      </c>
      <c r="G7" s="145">
        <f t="shared" si="2"/>
        <v>845.6621753554501</v>
      </c>
      <c r="H7" s="151">
        <v>840</v>
      </c>
      <c r="I7" s="146">
        <f t="shared" si="3"/>
        <v>-5.662175355450131</v>
      </c>
    </row>
    <row r="8" spans="1:9" s="15" customFormat="1" ht="15">
      <c r="A8" s="103" t="s">
        <v>898</v>
      </c>
      <c r="B8" s="22">
        <v>7.42</v>
      </c>
      <c r="C8" s="22">
        <f>B8*0.1</f>
        <v>0.742</v>
      </c>
      <c r="D8" s="22">
        <v>350</v>
      </c>
      <c r="E8" s="84">
        <f t="shared" si="1"/>
        <v>1.4928909952606633</v>
      </c>
      <c r="F8" s="84">
        <f>B8+E8+C8</f>
        <v>9.654890995260665</v>
      </c>
      <c r="G8" s="145">
        <f>F8*$G$1</f>
        <v>697.08312985782</v>
      </c>
      <c r="H8" s="151">
        <f>689+14</f>
        <v>703</v>
      </c>
      <c r="I8" s="146">
        <f>H8-G8</f>
        <v>5.91687014217996</v>
      </c>
    </row>
    <row r="9" spans="1:9" s="15" customFormat="1" ht="15">
      <c r="A9" s="103" t="s">
        <v>859</v>
      </c>
      <c r="B9" s="22">
        <v>7.42</v>
      </c>
      <c r="C9" s="22">
        <f>B9*0.1</f>
        <v>0.742</v>
      </c>
      <c r="D9" s="22">
        <v>570</v>
      </c>
      <c r="E9" s="84">
        <f t="shared" si="1"/>
        <v>2.4312796208530805</v>
      </c>
      <c r="F9" s="84">
        <f>B9+E9+C9</f>
        <v>10.593279620853082</v>
      </c>
      <c r="G9" s="145">
        <f>F9*$G$1</f>
        <v>764.8347886255925</v>
      </c>
      <c r="H9" s="151">
        <v>749</v>
      </c>
      <c r="I9" s="146">
        <f>H9-G9</f>
        <v>-15.834788625592523</v>
      </c>
    </row>
    <row r="10" spans="1:9" s="8" customFormat="1" ht="15">
      <c r="A10" s="104" t="s">
        <v>899</v>
      </c>
      <c r="B10" s="22">
        <v>9.16</v>
      </c>
      <c r="C10" s="22">
        <f>B10*0.1</f>
        <v>0.916</v>
      </c>
      <c r="D10" s="22">
        <v>360</v>
      </c>
      <c r="E10" s="84">
        <f t="shared" si="1"/>
        <v>1.5355450236966823</v>
      </c>
      <c r="F10" s="84">
        <f>B10+E10+C10</f>
        <v>11.611545023696683</v>
      </c>
      <c r="G10" s="145">
        <f>F10*$G$1</f>
        <v>838.3535507109005</v>
      </c>
      <c r="H10" s="151">
        <f>829+9</f>
        <v>838</v>
      </c>
      <c r="I10" s="146">
        <f>H10-G10</f>
        <v>-0.35355071090054935</v>
      </c>
    </row>
    <row r="11" spans="1:9" s="15" customFormat="1" ht="15">
      <c r="A11" s="103" t="s">
        <v>838</v>
      </c>
      <c r="B11" s="108">
        <v>4.58</v>
      </c>
      <c r="C11" s="22">
        <f>B11*0.1</f>
        <v>0.458</v>
      </c>
      <c r="D11" s="22">
        <v>180</v>
      </c>
      <c r="E11" s="84">
        <f t="shared" si="1"/>
        <v>0.7677725118483412</v>
      </c>
      <c r="F11" s="84">
        <f>B11+E11+C11</f>
        <v>5.805772511848342</v>
      </c>
      <c r="G11" s="145">
        <f>F11*$G$1</f>
        <v>419.1767753554503</v>
      </c>
      <c r="H11" s="151">
        <v>415</v>
      </c>
      <c r="I11" s="146">
        <f>H11-G11</f>
        <v>-4.176775355450275</v>
      </c>
    </row>
    <row r="12" spans="1:9" s="15" customFormat="1" ht="15">
      <c r="A12" s="103" t="s">
        <v>607</v>
      </c>
      <c r="B12" s="22">
        <v>16.5</v>
      </c>
      <c r="C12" s="22">
        <f t="shared" si="0"/>
        <v>1.6500000000000001</v>
      </c>
      <c r="D12" s="22">
        <v>470</v>
      </c>
      <c r="E12" s="84">
        <f t="shared" si="1"/>
        <v>2.0047393364928907</v>
      </c>
      <c r="F12" s="84">
        <f t="shared" si="4"/>
        <v>20.154739336492888</v>
      </c>
      <c r="G12" s="145">
        <f t="shared" si="2"/>
        <v>1455.1721800947867</v>
      </c>
      <c r="H12" s="153">
        <f>1406+14</f>
        <v>1420</v>
      </c>
      <c r="I12" s="146">
        <f t="shared" si="3"/>
        <v>-35.172180094786654</v>
      </c>
    </row>
    <row r="13" spans="1:9" s="8" customFormat="1" ht="15">
      <c r="A13" s="104" t="s">
        <v>418</v>
      </c>
      <c r="B13" s="22">
        <v>77.85</v>
      </c>
      <c r="C13" s="22">
        <f t="shared" si="0"/>
        <v>7.785</v>
      </c>
      <c r="D13" s="22">
        <v>1110</v>
      </c>
      <c r="E13" s="84">
        <f t="shared" si="1"/>
        <v>4.734597156398104</v>
      </c>
      <c r="F13" s="84">
        <f t="shared" si="4"/>
        <v>90.3695971563981</v>
      </c>
      <c r="G13" s="145">
        <f>F13*$G$1</f>
        <v>6524.684914691943</v>
      </c>
      <c r="H13" s="151">
        <v>6450</v>
      </c>
      <c r="I13" s="146">
        <f t="shared" si="3"/>
        <v>-74.68491469194305</v>
      </c>
    </row>
    <row r="14" spans="1:9" s="8" customFormat="1" ht="15">
      <c r="A14" s="103" t="s">
        <v>675</v>
      </c>
      <c r="B14" s="22">
        <v>33.58</v>
      </c>
      <c r="C14" s="22">
        <f>B14*0.1</f>
        <v>3.358</v>
      </c>
      <c r="D14" s="22">
        <v>290</v>
      </c>
      <c r="E14" s="84">
        <f>D14/$D$18*$E$18</f>
        <v>1.2369668246445498</v>
      </c>
      <c r="F14" s="84">
        <f>B14+E14+C14</f>
        <v>38.17496682464454</v>
      </c>
      <c r="G14" s="145">
        <f>F14*$G$1</f>
        <v>2756.2326047393362</v>
      </c>
      <c r="H14" s="151">
        <f>2742+14</f>
        <v>2756</v>
      </c>
      <c r="I14" s="146">
        <f>H14-G14</f>
        <v>-0.2326047393362387</v>
      </c>
    </row>
    <row r="15" spans="1:9" s="8" customFormat="1" ht="15">
      <c r="A15" s="103" t="s">
        <v>694</v>
      </c>
      <c r="B15" s="22">
        <v>12.28</v>
      </c>
      <c r="C15" s="22">
        <f>B15*0.1</f>
        <v>1.228</v>
      </c>
      <c r="D15" s="22">
        <v>95</v>
      </c>
      <c r="E15" s="84">
        <f>D15/$D$18*$E$18</f>
        <v>0.4052132701421801</v>
      </c>
      <c r="F15" s="84">
        <f>B15+E15+C15</f>
        <v>13.91321327014218</v>
      </c>
      <c r="G15" s="145">
        <f>F15*$G$1</f>
        <v>1004.5339981042654</v>
      </c>
      <c r="H15" s="151">
        <f>993+12</f>
        <v>1005</v>
      </c>
      <c r="I15" s="146">
        <f>H15-G15</f>
        <v>0.46600189573462103</v>
      </c>
    </row>
    <row r="16" spans="1:9" s="8" customFormat="1" ht="15">
      <c r="A16" s="103" t="s">
        <v>548</v>
      </c>
      <c r="B16" s="22">
        <v>44.46</v>
      </c>
      <c r="C16" s="22">
        <f>B16*0.1</f>
        <v>4.446000000000001</v>
      </c>
      <c r="D16" s="22">
        <v>605</v>
      </c>
      <c r="E16" s="84">
        <f>D16/$D$18*$E$18</f>
        <v>2.580568720379147</v>
      </c>
      <c r="F16" s="84">
        <f>B16+E16+C16</f>
        <v>51.48656872037915</v>
      </c>
      <c r="G16" s="145">
        <f>F16*$G$1</f>
        <v>3717.3302616113747</v>
      </c>
      <c r="H16" s="151">
        <f>3607+96</f>
        <v>3703</v>
      </c>
      <c r="I16" s="146">
        <f>H16-G16</f>
        <v>-14.33026161137468</v>
      </c>
    </row>
    <row r="17" spans="1:10" s="8" customFormat="1" ht="15">
      <c r="A17" s="103"/>
      <c r="B17" s="85"/>
      <c r="C17" s="85"/>
      <c r="D17" s="22">
        <v>6100</v>
      </c>
      <c r="E17" s="84">
        <f t="shared" si="1"/>
        <v>26.018957345971565</v>
      </c>
      <c r="F17" s="85"/>
      <c r="G17" s="28"/>
      <c r="H17" s="152"/>
      <c r="I17" s="28"/>
      <c r="J17" s="32"/>
    </row>
    <row r="18" spans="1:9" s="8" customFormat="1" ht="15">
      <c r="A18" s="25"/>
      <c r="B18" s="86"/>
      <c r="C18" s="86"/>
      <c r="D18" s="86">
        <f>SUM(D4:D17)</f>
        <v>10761</v>
      </c>
      <c r="E18" s="1">
        <v>45.9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A22" sqref="A22:A23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205</v>
      </c>
      <c r="B1" s="10">
        <v>42576</v>
      </c>
      <c r="C1" s="10"/>
      <c r="D1" s="10"/>
      <c r="E1" s="10"/>
      <c r="F1" s="11" t="s">
        <v>206</v>
      </c>
      <c r="G1" s="106">
        <v>75</v>
      </c>
      <c r="H1" s="8" t="s">
        <v>207</v>
      </c>
      <c r="J1" s="154"/>
    </row>
    <row r="2" s="8" customFormat="1" ht="23.25" customHeight="1">
      <c r="A2" s="33" t="s">
        <v>905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662</v>
      </c>
      <c r="B4" s="22">
        <v>34.91</v>
      </c>
      <c r="C4" s="22">
        <f aca="true" t="shared" si="0" ref="C4:C13">B4*0.1</f>
        <v>3.4909999999999997</v>
      </c>
      <c r="D4" s="22">
        <v>970</v>
      </c>
      <c r="E4" s="84">
        <f aca="true" t="shared" si="1" ref="E4:E16">D4/$D$17*$E$17</f>
        <v>3.82702120014373</v>
      </c>
      <c r="F4" s="84">
        <f aca="true" t="shared" si="2" ref="F4:F15">B4+E4+C4</f>
        <v>42.22802120014373</v>
      </c>
      <c r="G4" s="145">
        <f>F4*$G$1</f>
        <v>3167.1015900107795</v>
      </c>
      <c r="H4" s="119">
        <f>3050+117</f>
        <v>3167</v>
      </c>
      <c r="I4" s="146">
        <f aca="true" t="shared" si="3" ref="I4:I13">H4-G4</f>
        <v>-0.10159001077954599</v>
      </c>
    </row>
    <row r="5" spans="1:9" s="15" customFormat="1" ht="15">
      <c r="A5" s="103" t="s">
        <v>906</v>
      </c>
      <c r="B5" s="22">
        <v>53.59</v>
      </c>
      <c r="C5" s="22">
        <f t="shared" si="0"/>
        <v>5.359000000000001</v>
      </c>
      <c r="D5" s="22">
        <v>355</v>
      </c>
      <c r="E5" s="84">
        <f t="shared" si="1"/>
        <v>1.4006108515989937</v>
      </c>
      <c r="F5" s="84">
        <f t="shared" si="2"/>
        <v>60.349610851598996</v>
      </c>
      <c r="G5" s="145">
        <f aca="true" t="shared" si="4" ref="G5:G12">F5*$G$1</f>
        <v>4526.220813869924</v>
      </c>
      <c r="H5" s="119">
        <f>4374+152</f>
        <v>4526</v>
      </c>
      <c r="I5" s="146">
        <f t="shared" si="3"/>
        <v>-0.22081386992431362</v>
      </c>
    </row>
    <row r="6" spans="1:9" s="8" customFormat="1" ht="15">
      <c r="A6" s="104" t="s">
        <v>630</v>
      </c>
      <c r="B6" s="22">
        <v>54.68</v>
      </c>
      <c r="C6" s="22">
        <f t="shared" si="0"/>
        <v>5.468</v>
      </c>
      <c r="D6" s="22">
        <v>1770</v>
      </c>
      <c r="E6" s="84">
        <f t="shared" si="1"/>
        <v>6.983327344592166</v>
      </c>
      <c r="F6" s="84">
        <f t="shared" si="2"/>
        <v>67.13132734459217</v>
      </c>
      <c r="G6" s="145">
        <f t="shared" si="4"/>
        <v>5034.849550844412</v>
      </c>
      <c r="H6" s="132">
        <f>4835+200</f>
        <v>5035</v>
      </c>
      <c r="I6" s="146">
        <f t="shared" si="3"/>
        <v>0.15044915558792127</v>
      </c>
    </row>
    <row r="7" spans="1:9" s="15" customFormat="1" ht="15">
      <c r="A7" s="103" t="s">
        <v>127</v>
      </c>
      <c r="B7" s="22">
        <v>8.29</v>
      </c>
      <c r="C7" s="22">
        <f t="shared" si="0"/>
        <v>0.829</v>
      </c>
      <c r="D7" s="22">
        <v>260</v>
      </c>
      <c r="E7" s="84">
        <f t="shared" si="1"/>
        <v>1.025799496945742</v>
      </c>
      <c r="F7" s="84">
        <f t="shared" si="2"/>
        <v>10.144799496945742</v>
      </c>
      <c r="G7" s="145">
        <f t="shared" si="4"/>
        <v>760.8599622709306</v>
      </c>
      <c r="H7" s="119">
        <v>727</v>
      </c>
      <c r="I7" s="146">
        <f t="shared" si="3"/>
        <v>-33.85996227093062</v>
      </c>
    </row>
    <row r="8" spans="1:9" s="15" customFormat="1" ht="15">
      <c r="A8" s="103" t="s">
        <v>907</v>
      </c>
      <c r="B8" s="22">
        <v>15.42</v>
      </c>
      <c r="C8" s="22">
        <f>B8*0.1</f>
        <v>1.542</v>
      </c>
      <c r="D8" s="22">
        <v>80</v>
      </c>
      <c r="E8" s="84">
        <f t="shared" si="1"/>
        <v>0.3156306144448437</v>
      </c>
      <c r="F8" s="84">
        <f t="shared" si="2"/>
        <v>17.277630614444845</v>
      </c>
      <c r="G8" s="145">
        <f>F8*$G$1</f>
        <v>1295.8222960833634</v>
      </c>
      <c r="H8" s="132">
        <f>1251+45</f>
        <v>1296</v>
      </c>
      <c r="I8" s="146">
        <f>H8-G8</f>
        <v>0.17770391663657392</v>
      </c>
    </row>
    <row r="9" spans="1:9" s="15" customFormat="1" ht="15">
      <c r="A9" s="103" t="s">
        <v>861</v>
      </c>
      <c r="B9" s="22">
        <v>20.75</v>
      </c>
      <c r="C9" s="22">
        <f>B9*0.1</f>
        <v>2.075</v>
      </c>
      <c r="D9" s="22">
        <v>560</v>
      </c>
      <c r="E9" s="84">
        <f t="shared" si="1"/>
        <v>2.209414301113906</v>
      </c>
      <c r="F9" s="84">
        <f t="shared" si="2"/>
        <v>25.034414301113905</v>
      </c>
      <c r="G9" s="145">
        <f>F9*$G$1</f>
        <v>1877.581072583543</v>
      </c>
      <c r="H9" s="119">
        <f>1807+70</f>
        <v>1877</v>
      </c>
      <c r="I9" s="146">
        <f>H9-G9</f>
        <v>-0.5810725835428912</v>
      </c>
    </row>
    <row r="10" spans="1:9" s="8" customFormat="1" ht="15">
      <c r="A10" s="104" t="s">
        <v>94</v>
      </c>
      <c r="B10" s="22">
        <v>18.78</v>
      </c>
      <c r="C10" s="22">
        <f>B10*0.1</f>
        <v>1.8780000000000001</v>
      </c>
      <c r="D10" s="22">
        <v>200</v>
      </c>
      <c r="E10" s="84">
        <f t="shared" si="1"/>
        <v>0.7890765361121092</v>
      </c>
      <c r="F10" s="84">
        <f t="shared" si="2"/>
        <v>21.44707653611211</v>
      </c>
      <c r="G10" s="145">
        <f>F10*$G$1</f>
        <v>1608.5307402084084</v>
      </c>
      <c r="H10" s="119">
        <f>1524+81</f>
        <v>1605</v>
      </c>
      <c r="I10" s="146">
        <f>H10-G10</f>
        <v>-3.5307402084083606</v>
      </c>
    </row>
    <row r="11" spans="1:9" s="15" customFormat="1" ht="15">
      <c r="A11" s="103" t="s">
        <v>657</v>
      </c>
      <c r="B11" s="108">
        <v>16.58</v>
      </c>
      <c r="C11" s="22">
        <f>B11*0.1</f>
        <v>1.658</v>
      </c>
      <c r="D11" s="22">
        <v>1150</v>
      </c>
      <c r="E11" s="84">
        <f t="shared" si="1"/>
        <v>4.537190082644628</v>
      </c>
      <c r="F11" s="84">
        <f t="shared" si="2"/>
        <v>22.775190082644627</v>
      </c>
      <c r="G11" s="145">
        <f>F11*$G$1</f>
        <v>1708.139256198347</v>
      </c>
      <c r="H11" s="119">
        <v>1700</v>
      </c>
      <c r="I11" s="146">
        <f>H11-G11</f>
        <v>-8.139256198347084</v>
      </c>
    </row>
    <row r="12" spans="1:9" s="15" customFormat="1" ht="15">
      <c r="A12" s="103" t="s">
        <v>908</v>
      </c>
      <c r="B12" s="22">
        <v>8.29</v>
      </c>
      <c r="C12" s="22">
        <f t="shared" si="0"/>
        <v>0.829</v>
      </c>
      <c r="D12" s="22">
        <v>570</v>
      </c>
      <c r="E12" s="84">
        <f t="shared" si="1"/>
        <v>2.2488681279195113</v>
      </c>
      <c r="F12" s="84">
        <f t="shared" si="2"/>
        <v>11.367868127919511</v>
      </c>
      <c r="G12" s="145">
        <f t="shared" si="4"/>
        <v>852.5901095939633</v>
      </c>
      <c r="H12" s="132">
        <f>817+36</f>
        <v>853</v>
      </c>
      <c r="I12" s="146">
        <f t="shared" si="3"/>
        <v>0.40989040603665217</v>
      </c>
    </row>
    <row r="13" spans="1:9" s="8" customFormat="1" ht="15">
      <c r="A13" s="104" t="s">
        <v>675</v>
      </c>
      <c r="B13" s="22">
        <v>8.29</v>
      </c>
      <c r="C13" s="22">
        <f t="shared" si="0"/>
        <v>0.829</v>
      </c>
      <c r="D13" s="22">
        <v>570</v>
      </c>
      <c r="E13" s="84">
        <f t="shared" si="1"/>
        <v>2.2488681279195113</v>
      </c>
      <c r="F13" s="84">
        <f t="shared" si="2"/>
        <v>11.367868127919511</v>
      </c>
      <c r="G13" s="145">
        <f>F13*$G$1</f>
        <v>852.5901095939633</v>
      </c>
      <c r="H13" s="119">
        <f>817+36</f>
        <v>853</v>
      </c>
      <c r="I13" s="146">
        <f t="shared" si="3"/>
        <v>0.40989040603665217</v>
      </c>
    </row>
    <row r="14" spans="1:9" s="8" customFormat="1" ht="15">
      <c r="A14" s="103" t="s">
        <v>909</v>
      </c>
      <c r="B14" s="22">
        <v>7.42</v>
      </c>
      <c r="C14" s="22">
        <f>B14*0.1</f>
        <v>0.742</v>
      </c>
      <c r="D14" s="22">
        <v>350</v>
      </c>
      <c r="E14" s="84">
        <f t="shared" si="1"/>
        <v>1.3808839381961913</v>
      </c>
      <c r="F14" s="84">
        <f t="shared" si="2"/>
        <v>9.54288393819619</v>
      </c>
      <c r="G14" s="145">
        <f>F14*$G$1</f>
        <v>715.7162953647143</v>
      </c>
      <c r="H14" s="119">
        <f>688+28</f>
        <v>716</v>
      </c>
      <c r="I14" s="146">
        <f>H14-G14</f>
        <v>0.2837046352857442</v>
      </c>
    </row>
    <row r="15" spans="1:9" s="8" customFormat="1" ht="15">
      <c r="A15" s="103" t="s">
        <v>418</v>
      </c>
      <c r="B15" s="22">
        <v>64.6</v>
      </c>
      <c r="C15" s="22">
        <f>B15*0.1</f>
        <v>6.46</v>
      </c>
      <c r="D15" s="22">
        <v>550</v>
      </c>
      <c r="E15" s="84">
        <f t="shared" si="1"/>
        <v>2.1699604743083003</v>
      </c>
      <c r="F15" s="84">
        <f t="shared" si="2"/>
        <v>73.22996047430829</v>
      </c>
      <c r="G15" s="145">
        <f>F15*$G$1</f>
        <v>5492.247035573121</v>
      </c>
      <c r="H15" s="119">
        <f>5281+190</f>
        <v>5471</v>
      </c>
      <c r="I15" s="146">
        <f>H15-G15</f>
        <v>-21.24703557312114</v>
      </c>
    </row>
    <row r="16" spans="1:10" s="8" customFormat="1" ht="15">
      <c r="A16" s="103" t="s">
        <v>224</v>
      </c>
      <c r="B16" s="85"/>
      <c r="C16" s="85"/>
      <c r="D16" s="22">
        <v>6530</v>
      </c>
      <c r="E16" s="84">
        <f t="shared" si="1"/>
        <v>25.763348904060365</v>
      </c>
      <c r="F16" s="85"/>
      <c r="G16" s="28"/>
      <c r="H16" s="152"/>
      <c r="I16" s="28"/>
      <c r="J16" s="32"/>
    </row>
    <row r="17" spans="1:9" s="8" customFormat="1" ht="15">
      <c r="A17" s="25"/>
      <c r="B17" s="86"/>
      <c r="C17" s="86"/>
      <c r="D17" s="86">
        <f>SUM(D4:D16)</f>
        <v>13915</v>
      </c>
      <c r="E17" s="1">
        <v>54.9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6.140625" style="0" customWidth="1"/>
  </cols>
  <sheetData>
    <row r="1" spans="1:10" s="8" customFormat="1" ht="21.75" customHeight="1">
      <c r="A1" s="9" t="s">
        <v>205</v>
      </c>
      <c r="B1" s="10">
        <v>42585</v>
      </c>
      <c r="C1" s="10"/>
      <c r="D1" s="10"/>
      <c r="E1" s="10"/>
      <c r="F1" s="11" t="s">
        <v>206</v>
      </c>
      <c r="G1" s="106">
        <v>75.02</v>
      </c>
      <c r="H1" s="8" t="s">
        <v>207</v>
      </c>
      <c r="J1" s="154"/>
    </row>
    <row r="2" s="8" customFormat="1" ht="23.25" customHeight="1">
      <c r="A2" s="33" t="s">
        <v>910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911</v>
      </c>
      <c r="B4" s="22">
        <v>15.86</v>
      </c>
      <c r="C4" s="22">
        <f aca="true" t="shared" si="0" ref="C4:C13">B4*0.1</f>
        <v>1.586</v>
      </c>
      <c r="D4" s="22">
        <v>960</v>
      </c>
      <c r="E4" s="84">
        <f aca="true" t="shared" si="1" ref="E4:E17">D4/$D$18*$E$18</f>
        <v>3.7788395904436856</v>
      </c>
      <c r="F4" s="84">
        <f aca="true" t="shared" si="2" ref="F4:F15">B4+E4+C4</f>
        <v>21.224839590443683</v>
      </c>
      <c r="G4" s="145">
        <f>F4*$G$1</f>
        <v>1592.287466075085</v>
      </c>
      <c r="H4" s="119">
        <v>1617</v>
      </c>
      <c r="I4" s="146">
        <f aca="true" t="shared" si="3" ref="I4:I13">H4-G4</f>
        <v>24.71253392491508</v>
      </c>
    </row>
    <row r="5" spans="1:9" s="15" customFormat="1" ht="15">
      <c r="A5" s="103" t="s">
        <v>50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1.7713310580204777</v>
      </c>
      <c r="F5" s="84">
        <f t="shared" si="2"/>
        <v>13.183831058020477</v>
      </c>
      <c r="G5" s="145">
        <f aca="true" t="shared" si="4" ref="G5:G12">F5*$G$1</f>
        <v>989.0510059726961</v>
      </c>
      <c r="H5" s="119">
        <v>1014</v>
      </c>
      <c r="I5" s="146">
        <f t="shared" si="3"/>
        <v>24.94899402730391</v>
      </c>
    </row>
    <row r="6" spans="1:10" s="8" customFormat="1" ht="15">
      <c r="A6" s="104" t="s">
        <v>565</v>
      </c>
      <c r="B6" s="22">
        <v>14.08</v>
      </c>
      <c r="C6" s="22">
        <f t="shared" si="0"/>
        <v>1.4080000000000001</v>
      </c>
      <c r="D6" s="22">
        <v>950</v>
      </c>
      <c r="E6" s="84">
        <f t="shared" si="1"/>
        <v>3.739476678043231</v>
      </c>
      <c r="F6" s="84">
        <f t="shared" si="2"/>
        <v>19.22747667804323</v>
      </c>
      <c r="G6" s="145">
        <f t="shared" si="4"/>
        <v>1442.4453003868032</v>
      </c>
      <c r="H6" s="132">
        <f>1468-26</f>
        <v>1442</v>
      </c>
      <c r="I6" s="146">
        <f t="shared" si="3"/>
        <v>-0.44530038680318285</v>
      </c>
      <c r="J6" s="8" t="s">
        <v>927</v>
      </c>
    </row>
    <row r="7" spans="1:9" s="15" customFormat="1" ht="15">
      <c r="A7" s="103" t="s">
        <v>912</v>
      </c>
      <c r="B7" s="22">
        <v>6.25</v>
      </c>
      <c r="C7" s="22">
        <f t="shared" si="0"/>
        <v>0.625</v>
      </c>
      <c r="D7" s="22">
        <v>240</v>
      </c>
      <c r="E7" s="84">
        <f t="shared" si="1"/>
        <v>0.9447098976109214</v>
      </c>
      <c r="F7" s="84">
        <f t="shared" si="2"/>
        <v>7.819709897610921</v>
      </c>
      <c r="G7" s="145">
        <f t="shared" si="4"/>
        <v>586.6346365187712</v>
      </c>
      <c r="H7" s="119">
        <v>591</v>
      </c>
      <c r="I7" s="146">
        <f t="shared" si="3"/>
        <v>4.365363481228769</v>
      </c>
    </row>
    <row r="8" spans="1:9" s="15" customFormat="1" ht="15">
      <c r="A8" s="103" t="s">
        <v>913</v>
      </c>
      <c r="B8" s="22">
        <v>5.18</v>
      </c>
      <c r="C8" s="22">
        <f>B8*0.1</f>
        <v>0.518</v>
      </c>
      <c r="D8" s="22">
        <v>300</v>
      </c>
      <c r="E8" s="84">
        <f t="shared" si="1"/>
        <v>1.180887372013652</v>
      </c>
      <c r="F8" s="84">
        <f t="shared" si="2"/>
        <v>6.878887372013652</v>
      </c>
      <c r="G8" s="145">
        <f>F8*$G$1</f>
        <v>516.0541306484641</v>
      </c>
      <c r="H8" s="119">
        <f>492+24</f>
        <v>516</v>
      </c>
      <c r="I8" s="146">
        <f>H8-G8</f>
        <v>-0.054130648464138176</v>
      </c>
    </row>
    <row r="9" spans="1:10" s="15" customFormat="1" ht="45">
      <c r="A9" s="103" t="s">
        <v>914</v>
      </c>
      <c r="B9" s="22">
        <v>44.08</v>
      </c>
      <c r="C9" s="22">
        <f>B9*0.1</f>
        <v>4.408</v>
      </c>
      <c r="D9" s="22">
        <v>135</v>
      </c>
      <c r="E9" s="84">
        <f t="shared" si="1"/>
        <v>0.5313993174061433</v>
      </c>
      <c r="F9" s="84">
        <f t="shared" si="2"/>
        <v>49.01939931740614</v>
      </c>
      <c r="G9" s="145">
        <f>F9*$G$1</f>
        <v>3677.4353367918084</v>
      </c>
      <c r="H9" s="119">
        <f>3731-54</f>
        <v>3677</v>
      </c>
      <c r="I9" s="146">
        <f>H9-G9</f>
        <v>-0.4353367918083677</v>
      </c>
      <c r="J9" s="15" t="s">
        <v>926</v>
      </c>
    </row>
    <row r="10" spans="1:9" s="8" customFormat="1" ht="15">
      <c r="A10" s="104" t="s">
        <v>915</v>
      </c>
      <c r="B10" s="22">
        <v>10.43</v>
      </c>
      <c r="C10" s="22">
        <f>B10*0.1</f>
        <v>1.043</v>
      </c>
      <c r="D10" s="22">
        <v>200</v>
      </c>
      <c r="E10" s="84">
        <f t="shared" si="1"/>
        <v>0.7872582480091012</v>
      </c>
      <c r="F10" s="84">
        <f t="shared" si="2"/>
        <v>12.2602582480091</v>
      </c>
      <c r="G10" s="145">
        <f>F10*$G$1</f>
        <v>919.7645737656426</v>
      </c>
      <c r="H10" s="132">
        <v>939</v>
      </c>
      <c r="I10" s="146">
        <f>H10-G10</f>
        <v>19.23542623435742</v>
      </c>
    </row>
    <row r="11" spans="1:9" s="15" customFormat="1" ht="15">
      <c r="A11" s="103" t="s">
        <v>418</v>
      </c>
      <c r="B11" s="108">
        <v>13.25</v>
      </c>
      <c r="C11" s="22">
        <f>B11*0.1</f>
        <v>1.3250000000000002</v>
      </c>
      <c r="D11" s="22">
        <v>560</v>
      </c>
      <c r="E11" s="84">
        <f t="shared" si="1"/>
        <v>2.2043230944254835</v>
      </c>
      <c r="F11" s="84">
        <f t="shared" si="2"/>
        <v>16.779323094425482</v>
      </c>
      <c r="G11" s="145">
        <f>F11*$G$1</f>
        <v>1258.7848185437997</v>
      </c>
      <c r="H11" s="119">
        <v>1362</v>
      </c>
      <c r="I11" s="146">
        <f>H11-G11</f>
        <v>103.2151814562003</v>
      </c>
    </row>
    <row r="12" spans="1:9" s="15" customFormat="1" ht="15">
      <c r="A12" s="103" t="s">
        <v>882</v>
      </c>
      <c r="B12" s="22">
        <v>11.25</v>
      </c>
      <c r="C12" s="22">
        <f t="shared" si="0"/>
        <v>1.125</v>
      </c>
      <c r="D12" s="22">
        <v>200</v>
      </c>
      <c r="E12" s="84">
        <f t="shared" si="1"/>
        <v>0.7872582480091012</v>
      </c>
      <c r="F12" s="84">
        <f t="shared" si="2"/>
        <v>13.1622582480091</v>
      </c>
      <c r="G12" s="145">
        <f t="shared" si="4"/>
        <v>987.4326137656427</v>
      </c>
      <c r="H12" s="119">
        <v>1008</v>
      </c>
      <c r="I12" s="146">
        <f t="shared" si="3"/>
        <v>20.567386234357286</v>
      </c>
    </row>
    <row r="13" spans="1:9" s="8" customFormat="1" ht="15">
      <c r="A13" s="104" t="s">
        <v>630</v>
      </c>
      <c r="B13" s="22">
        <v>19.93</v>
      </c>
      <c r="C13" s="22">
        <f t="shared" si="0"/>
        <v>1.993</v>
      </c>
      <c r="D13" s="22">
        <v>280</v>
      </c>
      <c r="E13" s="84">
        <f t="shared" si="1"/>
        <v>1.1021615472127417</v>
      </c>
      <c r="F13" s="84">
        <f t="shared" si="2"/>
        <v>23.02516154721274</v>
      </c>
      <c r="G13" s="145">
        <f>F13*$G$1</f>
        <v>1727.3476192718997</v>
      </c>
      <c r="H13" s="119">
        <v>1736</v>
      </c>
      <c r="I13" s="146">
        <f t="shared" si="3"/>
        <v>8.652380728100297</v>
      </c>
    </row>
    <row r="14" spans="1:9" s="8" customFormat="1" ht="15">
      <c r="A14" s="103" t="s">
        <v>589</v>
      </c>
      <c r="B14" s="22">
        <v>38.19</v>
      </c>
      <c r="C14" s="22">
        <f>B14*0.1</f>
        <v>3.819</v>
      </c>
      <c r="D14" s="22">
        <v>1130</v>
      </c>
      <c r="E14" s="84">
        <f t="shared" si="1"/>
        <v>4.448009101251421</v>
      </c>
      <c r="F14" s="84">
        <f t="shared" si="2"/>
        <v>46.45700910125142</v>
      </c>
      <c r="G14" s="145">
        <f>F14*$G$1</f>
        <v>3485.2048227758814</v>
      </c>
      <c r="H14" s="132">
        <v>3550</v>
      </c>
      <c r="I14" s="146">
        <f>H14-G14</f>
        <v>64.79517722411856</v>
      </c>
    </row>
    <row r="15" spans="1:9" s="8" customFormat="1" ht="15">
      <c r="A15" s="103" t="s">
        <v>916</v>
      </c>
      <c r="B15" s="22">
        <v>67.54</v>
      </c>
      <c r="C15" s="22">
        <f>B15*0.1</f>
        <v>6.754000000000001</v>
      </c>
      <c r="D15" s="22">
        <v>790</v>
      </c>
      <c r="E15" s="84">
        <f t="shared" si="1"/>
        <v>3.1096700796359498</v>
      </c>
      <c r="F15" s="84">
        <f t="shared" si="2"/>
        <v>77.40367007963596</v>
      </c>
      <c r="G15" s="145">
        <f>F15*$G$1</f>
        <v>5806.82332937429</v>
      </c>
      <c r="H15" s="119">
        <v>5907</v>
      </c>
      <c r="I15" s="146">
        <f>H15-G15</f>
        <v>100.17667062571036</v>
      </c>
    </row>
    <row r="16" spans="1:9" s="8" customFormat="1" ht="15">
      <c r="A16" s="103" t="s">
        <v>127</v>
      </c>
      <c r="B16" s="22">
        <v>19.84</v>
      </c>
      <c r="C16" s="22">
        <f>B16*0.1</f>
        <v>1.984</v>
      </c>
      <c r="D16" s="22">
        <v>450</v>
      </c>
      <c r="E16" s="84">
        <f>D16/$D$18*$E$18</f>
        <v>1.7713310580204777</v>
      </c>
      <c r="F16" s="84">
        <f>B16+E16+C16</f>
        <v>23.595331058020477</v>
      </c>
      <c r="G16" s="145">
        <f>F16*$G$1</f>
        <v>1770.1217359726961</v>
      </c>
      <c r="H16" s="119">
        <v>1802</v>
      </c>
      <c r="I16" s="146">
        <f>H16-G16</f>
        <v>31.878264027303885</v>
      </c>
    </row>
    <row r="17" spans="1:10" s="8" customFormat="1" ht="15">
      <c r="A17" s="103" t="s">
        <v>224</v>
      </c>
      <c r="B17" s="85"/>
      <c r="C17" s="85"/>
      <c r="D17" s="22">
        <v>6540</v>
      </c>
      <c r="E17" s="84">
        <f t="shared" si="1"/>
        <v>25.74334470989761</v>
      </c>
      <c r="F17" s="85"/>
      <c r="G17" s="28"/>
      <c r="H17" s="152"/>
      <c r="I17" s="28"/>
      <c r="J17" s="32"/>
    </row>
    <row r="18" spans="1:9" s="8" customFormat="1" ht="15">
      <c r="A18" s="25"/>
      <c r="B18" s="86"/>
      <c r="C18" s="86"/>
      <c r="D18" s="86">
        <f>SUM(D4:D17)</f>
        <v>13185</v>
      </c>
      <c r="E18" s="1">
        <v>51.9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2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205</v>
      </c>
      <c r="B1" s="10">
        <v>42597</v>
      </c>
      <c r="C1" s="10"/>
      <c r="D1" s="10"/>
      <c r="E1" s="10"/>
      <c r="F1" s="11" t="s">
        <v>206</v>
      </c>
      <c r="G1" s="106">
        <v>74.28</v>
      </c>
      <c r="H1" s="8" t="s">
        <v>207</v>
      </c>
      <c r="J1" s="154"/>
    </row>
    <row r="2" s="8" customFormat="1" ht="23.25" customHeight="1">
      <c r="A2" s="33" t="s">
        <v>919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127</v>
      </c>
      <c r="B4" s="22">
        <v>10.67</v>
      </c>
      <c r="C4" s="22">
        <f aca="true" t="shared" si="0" ref="C4:C11">B4*0.1</f>
        <v>1.067</v>
      </c>
      <c r="D4" s="22">
        <v>495</v>
      </c>
      <c r="E4" s="84">
        <f aca="true" t="shared" si="1" ref="E4:E12">D4/$D$13*$E$13</f>
        <v>2.012094763092269</v>
      </c>
      <c r="F4" s="84">
        <f>B4+E4+C4</f>
        <v>13.74909476309227</v>
      </c>
      <c r="G4" s="145">
        <f aca="true" t="shared" si="2" ref="G4:G11">F4*$G$1</f>
        <v>1021.2827590024938</v>
      </c>
      <c r="H4" s="119">
        <v>1010</v>
      </c>
      <c r="I4" s="146">
        <f aca="true" t="shared" si="3" ref="I4:I11">H4-G4</f>
        <v>-11.282759002493776</v>
      </c>
    </row>
    <row r="5" spans="1:9" s="15" customFormat="1" ht="15">
      <c r="A5" s="103" t="s">
        <v>921</v>
      </c>
      <c r="B5" s="22">
        <v>19.99</v>
      </c>
      <c r="C5" s="22">
        <f t="shared" si="0"/>
        <v>1.9989999999999999</v>
      </c>
      <c r="D5" s="22">
        <v>550</v>
      </c>
      <c r="E5" s="84">
        <f t="shared" si="1"/>
        <v>2.2356608478802995</v>
      </c>
      <c r="F5" s="84">
        <f>B5+E5+C5</f>
        <v>24.224660847880298</v>
      </c>
      <c r="G5" s="145">
        <f t="shared" si="2"/>
        <v>1799.4078077805486</v>
      </c>
      <c r="H5" s="119">
        <f>1786+13</f>
        <v>1799</v>
      </c>
      <c r="I5" s="146">
        <f t="shared" si="3"/>
        <v>-0.4078077805486373</v>
      </c>
    </row>
    <row r="6" spans="1:9" s="15" customFormat="1" ht="15">
      <c r="A6" s="103" t="s">
        <v>418</v>
      </c>
      <c r="B6" s="22">
        <v>13.25</v>
      </c>
      <c r="C6" s="22">
        <f t="shared" si="0"/>
        <v>1.3250000000000002</v>
      </c>
      <c r="D6" s="22">
        <v>560</v>
      </c>
      <c r="E6" s="84">
        <f t="shared" si="1"/>
        <v>2.2763092269326686</v>
      </c>
      <c r="F6" s="84">
        <f aca="true" t="shared" si="4" ref="F6:F11">B6+E6+C6</f>
        <v>16.851309226932667</v>
      </c>
      <c r="G6" s="145">
        <f t="shared" si="2"/>
        <v>1251.7152493765586</v>
      </c>
      <c r="H6" s="119">
        <v>1250</v>
      </c>
      <c r="I6" s="146">
        <f t="shared" si="3"/>
        <v>-1.7152493765586314</v>
      </c>
    </row>
    <row r="7" spans="1:9" s="8" customFormat="1" ht="15">
      <c r="A7" s="104">
        <v>51150</v>
      </c>
      <c r="B7" s="22">
        <v>12.08</v>
      </c>
      <c r="C7" s="22">
        <f t="shared" si="0"/>
        <v>1.2080000000000002</v>
      </c>
      <c r="D7" s="22">
        <v>900</v>
      </c>
      <c r="E7" s="84">
        <f t="shared" si="1"/>
        <v>3.658354114713217</v>
      </c>
      <c r="F7" s="84">
        <f t="shared" si="4"/>
        <v>16.946354114713216</v>
      </c>
      <c r="G7" s="145">
        <f t="shared" si="2"/>
        <v>1258.7751836408977</v>
      </c>
      <c r="H7" s="119">
        <v>1268</v>
      </c>
      <c r="I7" s="146">
        <f t="shared" si="3"/>
        <v>9.224816359102306</v>
      </c>
    </row>
    <row r="8" spans="1:9" s="15" customFormat="1" ht="15">
      <c r="A8" s="103" t="s">
        <v>496</v>
      </c>
      <c r="B8" s="22">
        <v>7.46</v>
      </c>
      <c r="C8" s="22">
        <f t="shared" si="0"/>
        <v>0.746</v>
      </c>
      <c r="D8" s="22">
        <v>250</v>
      </c>
      <c r="E8" s="84">
        <f t="shared" si="1"/>
        <v>1.0162094763092269</v>
      </c>
      <c r="F8" s="84">
        <f t="shared" si="4"/>
        <v>9.222209476309228</v>
      </c>
      <c r="G8" s="145">
        <f t="shared" si="2"/>
        <v>685.0257199002494</v>
      </c>
      <c r="H8" s="119">
        <f>676+9</f>
        <v>685</v>
      </c>
      <c r="I8" s="146">
        <f t="shared" si="3"/>
        <v>-0.025719900249441707</v>
      </c>
    </row>
    <row r="9" spans="1:9" s="15" customFormat="1" ht="15">
      <c r="A9" s="103" t="s">
        <v>920</v>
      </c>
      <c r="B9" s="22">
        <v>6.72</v>
      </c>
      <c r="C9" s="22">
        <f t="shared" si="0"/>
        <v>0.672</v>
      </c>
      <c r="D9" s="22">
        <v>480</v>
      </c>
      <c r="E9" s="84">
        <f t="shared" si="1"/>
        <v>1.9511221945137156</v>
      </c>
      <c r="F9" s="84">
        <f t="shared" si="4"/>
        <v>9.343122194513716</v>
      </c>
      <c r="G9" s="145">
        <f t="shared" si="2"/>
        <v>694.0071166084789</v>
      </c>
      <c r="H9" s="119">
        <v>698</v>
      </c>
      <c r="I9" s="146">
        <f t="shared" si="3"/>
        <v>3.9928833915211044</v>
      </c>
    </row>
    <row r="10" spans="1:9" s="8" customFormat="1" ht="15">
      <c r="A10" s="104" t="s">
        <v>922</v>
      </c>
      <c r="B10" s="22">
        <v>4.6</v>
      </c>
      <c r="C10" s="22">
        <f t="shared" si="0"/>
        <v>0.45999999999999996</v>
      </c>
      <c r="D10" s="22">
        <v>590</v>
      </c>
      <c r="E10" s="84">
        <f t="shared" si="1"/>
        <v>2.3982543640897753</v>
      </c>
      <c r="F10" s="84">
        <f t="shared" si="4"/>
        <v>7.4582543640897745</v>
      </c>
      <c r="G10" s="145">
        <f t="shared" si="2"/>
        <v>553.9991341645884</v>
      </c>
      <c r="H10" s="119">
        <v>557</v>
      </c>
      <c r="I10" s="146">
        <f t="shared" si="3"/>
        <v>3.0008658354115596</v>
      </c>
    </row>
    <row r="11" spans="1:9" s="15" customFormat="1" ht="15">
      <c r="A11" s="103" t="s">
        <v>876</v>
      </c>
      <c r="B11" s="108">
        <v>10.42</v>
      </c>
      <c r="C11" s="22">
        <f t="shared" si="0"/>
        <v>1.042</v>
      </c>
      <c r="D11" s="22">
        <v>180</v>
      </c>
      <c r="E11" s="84">
        <f t="shared" si="1"/>
        <v>0.7316708229426434</v>
      </c>
      <c r="F11" s="84">
        <f t="shared" si="4"/>
        <v>12.193670822942643</v>
      </c>
      <c r="G11" s="145">
        <f t="shared" si="2"/>
        <v>905.7458687281795</v>
      </c>
      <c r="H11" s="119">
        <v>898</v>
      </c>
      <c r="I11" s="146">
        <f t="shared" si="3"/>
        <v>-7.745868728179516</v>
      </c>
    </row>
    <row r="12" spans="1:10" s="8" customFormat="1" ht="15">
      <c r="A12" s="103" t="s">
        <v>224</v>
      </c>
      <c r="B12" s="85"/>
      <c r="C12" s="85"/>
      <c r="D12" s="22">
        <v>8025</v>
      </c>
      <c r="E12" s="84">
        <f t="shared" si="1"/>
        <v>32.62032418952619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12030</v>
      </c>
      <c r="E13" s="1">
        <v>48.9</v>
      </c>
      <c r="F13" s="113"/>
      <c r="G13" s="28"/>
      <c r="H13" s="28"/>
      <c r="I13" s="28"/>
    </row>
    <row r="18" ht="28.5">
      <c r="A18" s="107"/>
    </row>
    <row r="19" ht="28.5">
      <c r="A19" s="107"/>
    </row>
    <row r="82" spans="2:3" ht="15">
      <c r="B82" s="155">
        <f>'107'!I9</f>
        <v>3.9928833915211044</v>
      </c>
      <c r="C82">
        <v>107</v>
      </c>
    </row>
    <row r="202" spans="2:3" ht="15">
      <c r="B202" s="155">
        <f>'50'!H14+'107'!I8</f>
        <v>-0.013923862895580896</v>
      </c>
      <c r="C202" t="s">
        <v>925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205</v>
      </c>
      <c r="B1" s="10">
        <v>41307</v>
      </c>
      <c r="C1" s="10"/>
      <c r="D1" s="11" t="s">
        <v>206</v>
      </c>
      <c r="E1" s="12">
        <v>41.74</v>
      </c>
      <c r="G1" s="8" t="s">
        <v>207</v>
      </c>
    </row>
    <row r="2" s="8" customFormat="1" ht="23.25" customHeight="1">
      <c r="A2" s="33"/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181</v>
      </c>
      <c r="B4" s="16">
        <v>29.7</v>
      </c>
      <c r="C4" s="16">
        <f>B4*0.95</f>
        <v>28.214999999999996</v>
      </c>
      <c r="D4" s="16">
        <f>B4/$B$15*$D$15</f>
        <v>2.2311320754716975</v>
      </c>
      <c r="E4" s="17">
        <f aca="true" t="shared" si="0" ref="E4:E11">(C4+D4)*$E$1</f>
        <v>1270.8215528301887</v>
      </c>
      <c r="F4" s="18"/>
      <c r="G4" s="19">
        <f aca="true" t="shared" si="1" ref="G4:G11">E4-F4</f>
        <v>1270.8215528301887</v>
      </c>
      <c r="H4" s="22">
        <v>457</v>
      </c>
      <c r="I4" s="21">
        <f aca="true" t="shared" si="2" ref="I4:I11">H4-G4+F4</f>
        <v>-813.8215528301887</v>
      </c>
    </row>
    <row r="5" spans="1:9" s="8" customFormat="1" ht="15">
      <c r="A5" s="4" t="s">
        <v>61</v>
      </c>
      <c r="B5" s="16">
        <v>6.9</v>
      </c>
      <c r="C5" s="16">
        <f>B5*0.95</f>
        <v>6.555</v>
      </c>
      <c r="D5" s="16">
        <f>B5/$B$15*$D$15</f>
        <v>0.5183438155136267</v>
      </c>
      <c r="E5" s="17">
        <f>(C5+D5)*$E$1</f>
        <v>295.2413708595388</v>
      </c>
      <c r="F5" s="18"/>
      <c r="G5" s="19">
        <f>E5-F5</f>
        <v>295.2413708595388</v>
      </c>
      <c r="H5" s="22"/>
      <c r="I5" s="21">
        <f>H5-G5+F5</f>
        <v>-295.2413708595388</v>
      </c>
    </row>
    <row r="6" spans="1:9" s="8" customFormat="1" ht="15">
      <c r="A6" s="4" t="s">
        <v>236</v>
      </c>
      <c r="B6" s="16">
        <v>42.4</v>
      </c>
      <c r="C6" s="16">
        <f aca="true" t="shared" si="3" ref="C6:C14">B6*0.95</f>
        <v>40.279999999999994</v>
      </c>
      <c r="D6" s="16">
        <f>B6/$B$15*$D$15</f>
        <v>3.1851851851851842</v>
      </c>
      <c r="E6" s="17">
        <f t="shared" si="0"/>
        <v>1814.2368296296295</v>
      </c>
      <c r="F6" s="18"/>
      <c r="G6" s="19">
        <f t="shared" si="1"/>
        <v>1814.2368296296295</v>
      </c>
      <c r="H6" s="22">
        <v>1223</v>
      </c>
      <c r="I6" s="21">
        <f t="shared" si="2"/>
        <v>-591.2368296296295</v>
      </c>
    </row>
    <row r="7" spans="1:9" s="8" customFormat="1" ht="15">
      <c r="A7" s="4" t="s">
        <v>174</v>
      </c>
      <c r="B7" s="16">
        <f>28.8+10.9</f>
        <v>39.7</v>
      </c>
      <c r="C7" s="16">
        <f t="shared" si="3"/>
        <v>37.715</v>
      </c>
      <c r="D7" s="16">
        <f>B7/$B$15*$D$15</f>
        <v>2.98235499650594</v>
      </c>
      <c r="E7" s="17">
        <f t="shared" si="0"/>
        <v>1698.7075975541582</v>
      </c>
      <c r="F7" s="18"/>
      <c r="G7" s="19">
        <f t="shared" si="1"/>
        <v>1698.7075975541582</v>
      </c>
      <c r="H7" s="22">
        <f>751+929</f>
        <v>1680</v>
      </c>
      <c r="I7" s="21">
        <f>H7-G7+F7</f>
        <v>-18.707597554158156</v>
      </c>
    </row>
    <row r="8" spans="1:10" s="8" customFormat="1" ht="15">
      <c r="A8" s="4" t="s">
        <v>201</v>
      </c>
      <c r="B8" s="16">
        <v>52.7</v>
      </c>
      <c r="C8" s="16">
        <f t="shared" si="3"/>
        <v>50.065</v>
      </c>
      <c r="D8" s="16">
        <f>B8/$B$15*$D$15</f>
        <v>3.9589447938504536</v>
      </c>
      <c r="E8" s="17">
        <f t="shared" si="0"/>
        <v>2254.959455695318</v>
      </c>
      <c r="F8" s="18"/>
      <c r="G8" s="19">
        <f t="shared" si="1"/>
        <v>2254.959455695318</v>
      </c>
      <c r="H8" s="22">
        <f>2236+13</f>
        <v>2249</v>
      </c>
      <c r="I8" s="21">
        <f t="shared" si="2"/>
        <v>-5.959455695317956</v>
      </c>
      <c r="J8" s="45" t="s">
        <v>239</v>
      </c>
    </row>
    <row r="9" spans="1:9" s="8" customFormat="1" ht="15">
      <c r="A9" s="4" t="s">
        <v>111</v>
      </c>
      <c r="B9" s="16">
        <v>5.9</v>
      </c>
      <c r="C9" s="16">
        <f t="shared" si="3"/>
        <v>5.605</v>
      </c>
      <c r="D9" s="16">
        <f aca="true" t="shared" si="4" ref="D9:D14">B9/$B$15*$D$15</f>
        <v>0.4432215234102026</v>
      </c>
      <c r="E9" s="17">
        <f t="shared" si="0"/>
        <v>252.45276638714188</v>
      </c>
      <c r="F9" s="18"/>
      <c r="G9" s="19">
        <f t="shared" si="1"/>
        <v>252.45276638714188</v>
      </c>
      <c r="H9" s="22">
        <v>250</v>
      </c>
      <c r="I9" s="21">
        <f t="shared" si="2"/>
        <v>-2.452766387141878</v>
      </c>
    </row>
    <row r="10" spans="1:9" s="8" customFormat="1" ht="15">
      <c r="A10" s="4" t="s">
        <v>46</v>
      </c>
      <c r="B10" s="16">
        <v>5.9</v>
      </c>
      <c r="C10" s="16">
        <f t="shared" si="3"/>
        <v>5.605</v>
      </c>
      <c r="D10" s="16">
        <f t="shared" si="4"/>
        <v>0.4432215234102026</v>
      </c>
      <c r="E10" s="17">
        <f t="shared" si="0"/>
        <v>252.45276638714188</v>
      </c>
      <c r="F10" s="18"/>
      <c r="G10" s="19">
        <f t="shared" si="1"/>
        <v>252.45276638714188</v>
      </c>
      <c r="H10" s="22">
        <v>250</v>
      </c>
      <c r="I10" s="21">
        <f t="shared" si="2"/>
        <v>-2.452766387141878</v>
      </c>
    </row>
    <row r="11" spans="1:9" s="8" customFormat="1" ht="15">
      <c r="A11" s="3" t="s">
        <v>188</v>
      </c>
      <c r="B11" s="8">
        <v>13.9</v>
      </c>
      <c r="C11" s="16">
        <f t="shared" si="3"/>
        <v>13.205</v>
      </c>
      <c r="D11" s="16">
        <f t="shared" si="4"/>
        <v>1.044199860237596</v>
      </c>
      <c r="E11" s="17">
        <f t="shared" si="0"/>
        <v>594.7616021663173</v>
      </c>
      <c r="F11" s="18"/>
      <c r="G11" s="19">
        <f t="shared" si="1"/>
        <v>594.7616021663173</v>
      </c>
      <c r="H11" s="22">
        <v>588</v>
      </c>
      <c r="I11" s="21">
        <f t="shared" si="2"/>
        <v>-6.761602166317289</v>
      </c>
    </row>
    <row r="12" spans="1:9" s="8" customFormat="1" ht="15">
      <c r="A12" s="4" t="s">
        <v>17</v>
      </c>
      <c r="B12" s="16">
        <v>49.8</v>
      </c>
      <c r="C12" s="16">
        <f t="shared" si="3"/>
        <v>47.309999999999995</v>
      </c>
      <c r="D12" s="16">
        <f t="shared" si="4"/>
        <v>3.741090146750523</v>
      </c>
      <c r="E12" s="17">
        <f>(C12+D12)*$E$1</f>
        <v>2130.8725027253668</v>
      </c>
      <c r="F12" s="18"/>
      <c r="G12" s="19">
        <f>E12-F12</f>
        <v>2130.8725027253668</v>
      </c>
      <c r="H12" s="22">
        <f>2019+112</f>
        <v>2131</v>
      </c>
      <c r="I12" s="21">
        <f>H12-G12+F12</f>
        <v>0.12749727463324234</v>
      </c>
    </row>
    <row r="13" spans="1:9" s="8" customFormat="1" ht="15">
      <c r="A13" s="46" t="s">
        <v>42</v>
      </c>
      <c r="B13" s="16">
        <v>15.5</v>
      </c>
      <c r="C13" s="16">
        <f t="shared" si="3"/>
        <v>14.725</v>
      </c>
      <c r="D13" s="16">
        <f t="shared" si="4"/>
        <v>1.1643955276030746</v>
      </c>
      <c r="E13" s="17">
        <f>(C13+D13)*$E$1</f>
        <v>663.2233693221524</v>
      </c>
      <c r="F13" s="18"/>
      <c r="G13" s="19">
        <f>E13-F13</f>
        <v>663.2233693221524</v>
      </c>
      <c r="H13" s="22">
        <v>891</v>
      </c>
      <c r="I13" s="21">
        <f>H13-G13+F13</f>
        <v>227.7766306778476</v>
      </c>
    </row>
    <row r="14" spans="1:9" s="8" customFormat="1" ht="15">
      <c r="A14" s="8" t="s">
        <v>224</v>
      </c>
      <c r="B14" s="16">
        <v>23.8</v>
      </c>
      <c r="C14" s="16">
        <f t="shared" si="3"/>
        <v>22.61</v>
      </c>
      <c r="D14" s="16">
        <f t="shared" si="4"/>
        <v>1.787910552061495</v>
      </c>
      <c r="E14" s="40"/>
      <c r="F14" s="28"/>
      <c r="G14" s="41"/>
      <c r="H14" s="42"/>
      <c r="I14" s="43"/>
    </row>
    <row r="15" spans="1:9" s="8" customFormat="1" ht="15">
      <c r="A15" s="25"/>
      <c r="B15" s="26">
        <f>SUM(B4:B14)</f>
        <v>286.20000000000005</v>
      </c>
      <c r="C15" s="26">
        <f>SUM(C4:C14)</f>
        <v>271.89</v>
      </c>
      <c r="D15" s="26">
        <v>21.5</v>
      </c>
      <c r="E15" s="27"/>
      <c r="F15" s="28"/>
      <c r="G15" s="28"/>
      <c r="H15" s="28"/>
      <c r="I15" s="28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205</v>
      </c>
      <c r="B1" s="10">
        <v>42607</v>
      </c>
      <c r="C1" s="10"/>
      <c r="D1" s="10"/>
      <c r="E1" s="10"/>
      <c r="F1" s="11" t="s">
        <v>206</v>
      </c>
      <c r="G1" s="106">
        <v>74.98</v>
      </c>
      <c r="H1" s="8" t="s">
        <v>207</v>
      </c>
      <c r="J1" s="154"/>
    </row>
    <row r="2" s="8" customFormat="1" ht="23.25" customHeight="1">
      <c r="A2" s="33" t="s">
        <v>928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929</v>
      </c>
      <c r="B4" s="22">
        <v>10.79</v>
      </c>
      <c r="C4" s="22">
        <f aca="true" t="shared" si="0" ref="C4:C9">B4*0.1</f>
        <v>1.079</v>
      </c>
      <c r="D4" s="22">
        <v>350</v>
      </c>
      <c r="E4" s="84">
        <f aca="true" t="shared" si="1" ref="E4:E10">D4/$D$11*$E$11</f>
        <v>1.463445917058572</v>
      </c>
      <c r="F4" s="84">
        <f aca="true" t="shared" si="2" ref="F4:F9">B4+E4+C4</f>
        <v>13.332445917058571</v>
      </c>
      <c r="G4" s="145">
        <f aca="true" t="shared" si="3" ref="G4:G9">F4*$G$1</f>
        <v>999.6667948610517</v>
      </c>
      <c r="H4" s="119">
        <v>996</v>
      </c>
      <c r="I4" s="146">
        <f aca="true" t="shared" si="4" ref="I4:I9">H4-G4</f>
        <v>-3.6667948610516987</v>
      </c>
    </row>
    <row r="5" spans="1:9" s="15" customFormat="1" ht="15">
      <c r="A5" s="103" t="s">
        <v>479</v>
      </c>
      <c r="B5" s="22">
        <v>4.43</v>
      </c>
      <c r="C5" s="22">
        <f t="shared" si="0"/>
        <v>0.443</v>
      </c>
      <c r="D5" s="22">
        <v>130</v>
      </c>
      <c r="E5" s="84">
        <f t="shared" si="1"/>
        <v>0.543565626336041</v>
      </c>
      <c r="F5" s="84">
        <f t="shared" si="2"/>
        <v>5.41656562633604</v>
      </c>
      <c r="G5" s="145">
        <f t="shared" si="3"/>
        <v>406.13409066267633</v>
      </c>
      <c r="H5" s="119">
        <v>452</v>
      </c>
      <c r="I5" s="146">
        <f t="shared" si="4"/>
        <v>45.86590933732367</v>
      </c>
    </row>
    <row r="6" spans="1:9" s="15" customFormat="1" ht="15">
      <c r="A6" s="103" t="s">
        <v>760</v>
      </c>
      <c r="B6" s="22">
        <v>10.75</v>
      </c>
      <c r="C6" s="22">
        <f t="shared" si="0"/>
        <v>1.075</v>
      </c>
      <c r="D6" s="22">
        <v>750</v>
      </c>
      <c r="E6" s="84">
        <f t="shared" si="1"/>
        <v>3.135955536554083</v>
      </c>
      <c r="F6" s="84">
        <f t="shared" si="2"/>
        <v>14.960955536554081</v>
      </c>
      <c r="G6" s="145">
        <f t="shared" si="3"/>
        <v>1121.772446130825</v>
      </c>
      <c r="H6" s="157">
        <v>1018</v>
      </c>
      <c r="I6" s="146">
        <f t="shared" si="4"/>
        <v>-103.77244613082507</v>
      </c>
    </row>
    <row r="7" spans="1:9" s="8" customFormat="1" ht="15">
      <c r="A7" s="104" t="s">
        <v>930</v>
      </c>
      <c r="B7" s="22">
        <v>13.25</v>
      </c>
      <c r="C7" s="22">
        <f t="shared" si="0"/>
        <v>1.3250000000000002</v>
      </c>
      <c r="D7" s="22">
        <v>900</v>
      </c>
      <c r="E7" s="84">
        <f t="shared" si="1"/>
        <v>3.7631466438648995</v>
      </c>
      <c r="F7" s="84">
        <f t="shared" si="2"/>
        <v>18.3381466438649</v>
      </c>
      <c r="G7" s="145">
        <f t="shared" si="3"/>
        <v>1374.9942353569902</v>
      </c>
      <c r="H7" s="150">
        <f>1371+4</f>
        <v>1375</v>
      </c>
      <c r="I7" s="146">
        <f t="shared" si="4"/>
        <v>0.00576464300979751</v>
      </c>
    </row>
    <row r="8" spans="1:9" s="15" customFormat="1" ht="15">
      <c r="A8" s="103" t="s">
        <v>127</v>
      </c>
      <c r="B8" s="22">
        <v>6.58</v>
      </c>
      <c r="C8" s="22">
        <f t="shared" si="0"/>
        <v>0.658</v>
      </c>
      <c r="D8" s="22">
        <v>470</v>
      </c>
      <c r="E8" s="84">
        <f t="shared" si="1"/>
        <v>1.9651988029072254</v>
      </c>
      <c r="F8" s="84">
        <f t="shared" si="2"/>
        <v>9.203198802907226</v>
      </c>
      <c r="G8" s="145">
        <f t="shared" si="3"/>
        <v>690.0558462419838</v>
      </c>
      <c r="H8" s="119">
        <v>682</v>
      </c>
      <c r="I8" s="146">
        <f t="shared" si="4"/>
        <v>-8.055846241983772</v>
      </c>
    </row>
    <row r="9" spans="1:9" s="15" customFormat="1" ht="15">
      <c r="A9" s="103" t="s">
        <v>514</v>
      </c>
      <c r="B9" s="22">
        <v>32.25</v>
      </c>
      <c r="C9" s="22">
        <f t="shared" si="0"/>
        <v>3.225</v>
      </c>
      <c r="D9" s="22">
        <v>400</v>
      </c>
      <c r="E9" s="84">
        <f t="shared" si="1"/>
        <v>1.672509619495511</v>
      </c>
      <c r="F9" s="84">
        <f t="shared" si="2"/>
        <v>37.147509619495516</v>
      </c>
      <c r="G9" s="145">
        <f t="shared" si="3"/>
        <v>2785.320271269774</v>
      </c>
      <c r="H9" s="150">
        <v>2697</v>
      </c>
      <c r="I9" s="146">
        <f t="shared" si="4"/>
        <v>-88.32027126977391</v>
      </c>
    </row>
    <row r="10" spans="1:10" s="8" customFormat="1" ht="15">
      <c r="A10" s="103" t="s">
        <v>224</v>
      </c>
      <c r="B10" s="85"/>
      <c r="C10" s="85"/>
      <c r="D10" s="22">
        <v>8695</v>
      </c>
      <c r="E10" s="84">
        <f t="shared" si="1"/>
        <v>36.35617785378367</v>
      </c>
      <c r="F10" s="85"/>
      <c r="G10" s="28"/>
      <c r="H10" s="156"/>
      <c r="I10" s="28"/>
      <c r="J10" s="32"/>
    </row>
    <row r="11" spans="1:9" s="8" customFormat="1" ht="15">
      <c r="A11" s="25"/>
      <c r="B11" s="86"/>
      <c r="C11" s="86"/>
      <c r="D11" s="86">
        <f>SUM(D4:D10)</f>
        <v>11695</v>
      </c>
      <c r="E11" s="1">
        <v>48.9</v>
      </c>
      <c r="F11" s="113"/>
      <c r="G11" s="28"/>
      <c r="H11" s="28"/>
      <c r="I11" s="28"/>
    </row>
    <row r="13" ht="28.5">
      <c r="A13" s="107" t="s">
        <v>590</v>
      </c>
    </row>
    <row r="14" spans="1:2" ht="31.5">
      <c r="A14" s="117" t="s">
        <v>479</v>
      </c>
      <c r="B14" s="138" t="s">
        <v>931</v>
      </c>
    </row>
    <row r="75" spans="2:3" ht="15">
      <c r="B75" s="155">
        <f>'107'!I9</f>
        <v>3.9928833915211044</v>
      </c>
      <c r="C75">
        <v>107</v>
      </c>
    </row>
    <row r="195" spans="2:3" ht="15">
      <c r="B195" s="155">
        <f>'50'!H14+'107'!I8</f>
        <v>-0.013923862895580896</v>
      </c>
      <c r="C195" t="s">
        <v>925</v>
      </c>
    </row>
  </sheetData>
  <sheetProtection/>
  <hyperlinks>
    <hyperlink ref="B14" r:id="rId1" display="http://www.cocooncenter.co.uk/mustela-foam-shampoo-for-newborns-150ml/2197.html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4"/>
  <sheetViews>
    <sheetView zoomScale="90" zoomScaleNormal="90" zoomScalePageLayoutView="0" workbookViewId="0" topLeftCell="A1">
      <selection activeCell="G1" sqref="G1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205</v>
      </c>
      <c r="B1" s="10">
        <v>42613</v>
      </c>
      <c r="C1" s="10"/>
      <c r="D1" s="10"/>
      <c r="E1" s="10"/>
      <c r="F1" s="11" t="s">
        <v>206</v>
      </c>
      <c r="G1" s="106">
        <v>75.67</v>
      </c>
      <c r="H1" s="8" t="s">
        <v>207</v>
      </c>
      <c r="J1" s="154"/>
    </row>
    <row r="2" s="8" customFormat="1" ht="23.25" customHeight="1">
      <c r="A2" s="33" t="s">
        <v>932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418</v>
      </c>
      <c r="B4" s="22">
        <v>51.68</v>
      </c>
      <c r="C4" s="22">
        <f aca="true" t="shared" si="0" ref="C4:C9">B4*0.1</f>
        <v>5.168</v>
      </c>
      <c r="D4" s="22">
        <v>550</v>
      </c>
      <c r="E4" s="84">
        <f aca="true" t="shared" si="1" ref="E4:E10">D4/$D$11*$E$11</f>
        <v>2.289910600255428</v>
      </c>
      <c r="F4" s="84">
        <f aca="true" t="shared" si="2" ref="F4:F9">B4+E4+C4</f>
        <v>59.137910600255424</v>
      </c>
      <c r="G4" s="145">
        <f aca="true" t="shared" si="3" ref="G4:G9">F4*$G$1</f>
        <v>4474.965695121328</v>
      </c>
      <c r="H4" s="119">
        <f>4393+74</f>
        <v>4467</v>
      </c>
      <c r="I4" s="146">
        <f aca="true" t="shared" si="4" ref="I4:I9">H4-G4</f>
        <v>-7.965695121328281</v>
      </c>
    </row>
    <row r="5" spans="1:9" s="15" customFormat="1" ht="15">
      <c r="A5" s="103" t="s">
        <v>115</v>
      </c>
      <c r="B5" s="22">
        <v>9.71</v>
      </c>
      <c r="C5" s="22">
        <f t="shared" si="0"/>
        <v>0.9710000000000001</v>
      </c>
      <c r="D5" s="22">
        <v>560</v>
      </c>
      <c r="E5" s="84">
        <f t="shared" si="1"/>
        <v>2.33154533844189</v>
      </c>
      <c r="F5" s="84">
        <f t="shared" si="2"/>
        <v>13.01254533844189</v>
      </c>
      <c r="G5" s="145">
        <f t="shared" si="3"/>
        <v>984.6593057598978</v>
      </c>
      <c r="H5" s="119">
        <v>970</v>
      </c>
      <c r="I5" s="146">
        <f t="shared" si="4"/>
        <v>-14.659305759897848</v>
      </c>
    </row>
    <row r="6" spans="1:9" s="15" customFormat="1" ht="15">
      <c r="A6" s="103" t="s">
        <v>933</v>
      </c>
      <c r="B6" s="22">
        <v>43.84</v>
      </c>
      <c r="C6" s="22">
        <f t="shared" si="0"/>
        <v>4.384</v>
      </c>
      <c r="D6" s="22">
        <v>1130</v>
      </c>
      <c r="E6" s="84">
        <f t="shared" si="1"/>
        <v>4.704725415070242</v>
      </c>
      <c r="F6" s="84">
        <f t="shared" si="2"/>
        <v>52.92872541507025</v>
      </c>
      <c r="G6" s="145">
        <f t="shared" si="3"/>
        <v>4005.1166521583655</v>
      </c>
      <c r="H6" s="150">
        <f>3917+88</f>
        <v>4005</v>
      </c>
      <c r="I6" s="146">
        <f t="shared" si="4"/>
        <v>-0.1166521583654685</v>
      </c>
    </row>
    <row r="7" spans="1:9" s="8" customFormat="1" ht="15">
      <c r="A7" s="104" t="s">
        <v>882</v>
      </c>
      <c r="B7" s="22">
        <v>52.79</v>
      </c>
      <c r="C7" s="22">
        <f t="shared" si="0"/>
        <v>5.279</v>
      </c>
      <c r="D7" s="22">
        <v>895</v>
      </c>
      <c r="E7" s="84">
        <f t="shared" si="1"/>
        <v>3.726309067688378</v>
      </c>
      <c r="F7" s="84">
        <f t="shared" si="2"/>
        <v>61.79530906768838</v>
      </c>
      <c r="G7" s="145">
        <f t="shared" si="3"/>
        <v>4676.0510371519795</v>
      </c>
      <c r="H7" s="150">
        <v>4539</v>
      </c>
      <c r="I7" s="146">
        <f t="shared" si="4"/>
        <v>-137.05103715197947</v>
      </c>
    </row>
    <row r="8" spans="1:9" s="15" customFormat="1" ht="15">
      <c r="A8" s="103" t="s">
        <v>860</v>
      </c>
      <c r="B8" s="22">
        <v>13.75</v>
      </c>
      <c r="C8" s="22">
        <f t="shared" si="0"/>
        <v>1.375</v>
      </c>
      <c r="D8" s="22">
        <v>360</v>
      </c>
      <c r="E8" s="84">
        <f t="shared" si="1"/>
        <v>1.4988505747126435</v>
      </c>
      <c r="F8" s="84">
        <f t="shared" si="2"/>
        <v>16.62385057471264</v>
      </c>
      <c r="G8" s="145">
        <f t="shared" si="3"/>
        <v>1257.9267729885055</v>
      </c>
      <c r="H8" s="119">
        <f>1236+16</f>
        <v>1252</v>
      </c>
      <c r="I8" s="146">
        <f t="shared" si="4"/>
        <v>-5.9267729885054905</v>
      </c>
    </row>
    <row r="9" spans="1:9" s="15" customFormat="1" ht="15">
      <c r="A9" s="103" t="s">
        <v>569</v>
      </c>
      <c r="B9" s="22">
        <v>22.27</v>
      </c>
      <c r="C9" s="22">
        <f t="shared" si="0"/>
        <v>2.227</v>
      </c>
      <c r="D9" s="22">
        <v>210</v>
      </c>
      <c r="E9" s="84">
        <f t="shared" si="1"/>
        <v>0.8743295019157088</v>
      </c>
      <c r="F9" s="84">
        <f t="shared" si="2"/>
        <v>25.37132950191571</v>
      </c>
      <c r="G9" s="145">
        <f t="shared" si="3"/>
        <v>1919.8485034099617</v>
      </c>
      <c r="H9" s="150">
        <f>1885+40</f>
        <v>1925</v>
      </c>
      <c r="I9" s="146">
        <f t="shared" si="4"/>
        <v>5.151496590038278</v>
      </c>
    </row>
    <row r="10" spans="1:10" s="8" customFormat="1" ht="15">
      <c r="A10" s="103" t="s">
        <v>224</v>
      </c>
      <c r="B10" s="85"/>
      <c r="C10" s="85"/>
      <c r="D10" s="22">
        <v>8040</v>
      </c>
      <c r="E10" s="84">
        <f t="shared" si="1"/>
        <v>33.474329501915705</v>
      </c>
      <c r="F10" s="85"/>
      <c r="G10" s="28"/>
      <c r="H10" s="156"/>
      <c r="I10" s="28"/>
      <c r="J10" s="32"/>
    </row>
    <row r="11" spans="1:9" s="8" customFormat="1" ht="15">
      <c r="A11" s="25"/>
      <c r="B11" s="86"/>
      <c r="C11" s="86"/>
      <c r="D11" s="86">
        <f>SUM(D4:D10)</f>
        <v>11745</v>
      </c>
      <c r="E11" s="1">
        <v>48.9</v>
      </c>
      <c r="F11" s="113"/>
      <c r="G11" s="28"/>
      <c r="H11" s="28"/>
      <c r="I11" s="28"/>
    </row>
    <row r="13" ht="28.5">
      <c r="A13" s="107"/>
    </row>
    <row r="14" ht="28.5">
      <c r="A14" s="107"/>
    </row>
    <row r="15" ht="28.5">
      <c r="A15" s="107"/>
    </row>
    <row r="74" spans="2:3" ht="15">
      <c r="B74" s="155">
        <f>'107'!I9</f>
        <v>3.9928833915211044</v>
      </c>
      <c r="C74">
        <v>107</v>
      </c>
    </row>
    <row r="194" spans="2:3" ht="15">
      <c r="B194" s="155">
        <f>'50'!H14+'107'!I8</f>
        <v>-0.013923862895580896</v>
      </c>
      <c r="C194" t="s">
        <v>925</v>
      </c>
    </row>
  </sheetData>
  <sheetProtection/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="90" zoomScaleNormal="90" zoomScalePageLayoutView="0" workbookViewId="0" topLeftCell="A1">
      <selection activeCell="A8" sqref="A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9.28125" style="0" customWidth="1"/>
  </cols>
  <sheetData>
    <row r="1" spans="1:10" s="8" customFormat="1" ht="21.75" customHeight="1">
      <c r="A1" s="9" t="s">
        <v>205</v>
      </c>
      <c r="B1" s="10">
        <v>42620</v>
      </c>
      <c r="C1" s="10"/>
      <c r="D1" s="10"/>
      <c r="E1" s="10"/>
      <c r="F1" s="11" t="s">
        <v>206</v>
      </c>
      <c r="G1" s="106">
        <v>74.23</v>
      </c>
      <c r="H1" s="8" t="s">
        <v>207</v>
      </c>
      <c r="J1" s="154"/>
    </row>
    <row r="2" s="8" customFormat="1" ht="23.25" customHeight="1">
      <c r="A2" s="33" t="s">
        <v>935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861</v>
      </c>
      <c r="B4" s="22">
        <v>14.08</v>
      </c>
      <c r="C4" s="22">
        <f aca="true" t="shared" si="0" ref="C4:C9">B4*0.1</f>
        <v>1.4080000000000001</v>
      </c>
      <c r="D4" s="22">
        <v>200</v>
      </c>
      <c r="E4" s="84">
        <f aca="true" t="shared" si="1" ref="E4:E11">D4/$D$12*$E$12</f>
        <v>0.8103321033210331</v>
      </c>
      <c r="F4" s="84">
        <f aca="true" t="shared" si="2" ref="F4:F9">B4+E4+C4</f>
        <v>16.298332103321034</v>
      </c>
      <c r="G4" s="145">
        <f aca="true" t="shared" si="3" ref="G4:G9">F4*$G$1</f>
        <v>1209.8251920295204</v>
      </c>
      <c r="H4" s="150">
        <f>1201+9</f>
        <v>1210</v>
      </c>
      <c r="I4" s="146">
        <f aca="true" t="shared" si="4" ref="I4:I9">H4-G4</f>
        <v>0.1748079704796055</v>
      </c>
    </row>
    <row r="5" spans="1:9" s="15" customFormat="1" ht="15">
      <c r="A5" s="103" t="s">
        <v>936</v>
      </c>
      <c r="B5" s="22">
        <v>24.99</v>
      </c>
      <c r="C5" s="22">
        <f t="shared" si="0"/>
        <v>2.499</v>
      </c>
      <c r="D5" s="22">
        <v>910</v>
      </c>
      <c r="E5" s="84">
        <f t="shared" si="1"/>
        <v>3.6870110701107013</v>
      </c>
      <c r="F5" s="84">
        <f t="shared" si="2"/>
        <v>31.1760110701107</v>
      </c>
      <c r="G5" s="145">
        <f t="shared" si="3"/>
        <v>2314.1953017343176</v>
      </c>
      <c r="H5" s="150">
        <f>2296+18</f>
        <v>2314</v>
      </c>
      <c r="I5" s="146">
        <f t="shared" si="4"/>
        <v>-0.19530173431758158</v>
      </c>
    </row>
    <row r="6" spans="1:9" s="15" customFormat="1" ht="15">
      <c r="A6" s="103" t="s">
        <v>937</v>
      </c>
      <c r="B6" s="22">
        <v>6.72</v>
      </c>
      <c r="C6" s="22">
        <f t="shared" si="0"/>
        <v>0.672</v>
      </c>
      <c r="D6" s="22">
        <v>250</v>
      </c>
      <c r="E6" s="84">
        <f t="shared" si="1"/>
        <v>1.0129151291512914</v>
      </c>
      <c r="F6" s="84">
        <f t="shared" si="2"/>
        <v>8.404915129151291</v>
      </c>
      <c r="G6" s="145">
        <f t="shared" si="3"/>
        <v>623.8968500369004</v>
      </c>
      <c r="H6" s="150">
        <v>614</v>
      </c>
      <c r="I6" s="146">
        <f t="shared" si="4"/>
        <v>-9.896850036900446</v>
      </c>
    </row>
    <row r="7" spans="1:9" s="8" customFormat="1" ht="15">
      <c r="A7" s="104" t="s">
        <v>556</v>
      </c>
      <c r="B7" s="22">
        <v>8.25</v>
      </c>
      <c r="C7" s="22">
        <f t="shared" si="0"/>
        <v>0.8250000000000001</v>
      </c>
      <c r="D7" s="22">
        <v>65</v>
      </c>
      <c r="E7" s="84">
        <f t="shared" si="1"/>
        <v>0.2633579335793358</v>
      </c>
      <c r="F7" s="84">
        <f t="shared" si="2"/>
        <v>9.338357933579335</v>
      </c>
      <c r="G7" s="145">
        <f t="shared" si="3"/>
        <v>693.1863094095941</v>
      </c>
      <c r="H7" s="150">
        <f>686+2</f>
        <v>688</v>
      </c>
      <c r="I7" s="146">
        <f t="shared" si="4"/>
        <v>-5.18630940959406</v>
      </c>
    </row>
    <row r="8" spans="1:10" s="15" customFormat="1" ht="45">
      <c r="A8" s="103" t="s">
        <v>723</v>
      </c>
      <c r="B8" s="22">
        <v>85.94</v>
      </c>
      <c r="C8" s="22">
        <f t="shared" si="0"/>
        <v>8.594</v>
      </c>
      <c r="D8" s="22">
        <v>2380</v>
      </c>
      <c r="E8" s="84">
        <f t="shared" si="1"/>
        <v>9.642952029520295</v>
      </c>
      <c r="F8" s="84">
        <f t="shared" si="2"/>
        <v>104.1769520295203</v>
      </c>
      <c r="G8" s="145">
        <f t="shared" si="3"/>
        <v>7733.0551491512915</v>
      </c>
      <c r="H8" s="150">
        <f>9435-1702</f>
        <v>7733</v>
      </c>
      <c r="I8" s="146">
        <f t="shared" si="4"/>
        <v>-0.05514915129151632</v>
      </c>
      <c r="J8" s="15" t="s">
        <v>988</v>
      </c>
    </row>
    <row r="9" spans="1:9" s="15" customFormat="1" ht="15">
      <c r="A9" s="103" t="s">
        <v>115</v>
      </c>
      <c r="B9" s="22">
        <v>15.61</v>
      </c>
      <c r="C9" s="22">
        <f t="shared" si="0"/>
        <v>1.561</v>
      </c>
      <c r="D9" s="22">
        <v>275</v>
      </c>
      <c r="E9" s="84">
        <f t="shared" si="1"/>
        <v>1.1142066420664205</v>
      </c>
      <c r="F9" s="84">
        <f t="shared" si="2"/>
        <v>18.28520664206642</v>
      </c>
      <c r="G9" s="145">
        <f t="shared" si="3"/>
        <v>1357.3108890405904</v>
      </c>
      <c r="H9" s="157">
        <f>1358+14</f>
        <v>1372</v>
      </c>
      <c r="I9" s="146">
        <f t="shared" si="4"/>
        <v>14.689110959409618</v>
      </c>
    </row>
    <row r="10" spans="1:9" s="15" customFormat="1" ht="15">
      <c r="A10" s="103" t="s">
        <v>512</v>
      </c>
      <c r="B10" s="22">
        <v>30.68</v>
      </c>
      <c r="C10" s="22">
        <f>B10*0.1</f>
        <v>3.068</v>
      </c>
      <c r="D10" s="22">
        <v>615</v>
      </c>
      <c r="E10" s="84">
        <f>D10/$D$12*$E$12</f>
        <v>2.491771217712177</v>
      </c>
      <c r="F10" s="84">
        <f>B10+E10+C10</f>
        <v>36.239771217712175</v>
      </c>
      <c r="G10" s="145">
        <f>F10*$G$1</f>
        <v>2690.078217490775</v>
      </c>
      <c r="H10" s="150">
        <f>2672+18</f>
        <v>2690</v>
      </c>
      <c r="I10" s="146">
        <f>H10-G10</f>
        <v>-0.07821749077493223</v>
      </c>
    </row>
    <row r="11" spans="1:10" s="8" customFormat="1" ht="15">
      <c r="A11" s="103" t="s">
        <v>224</v>
      </c>
      <c r="B11" s="85"/>
      <c r="C11" s="85"/>
      <c r="D11" s="22">
        <v>8855</v>
      </c>
      <c r="E11" s="84">
        <f t="shared" si="1"/>
        <v>35.877453874538745</v>
      </c>
      <c r="F11" s="85"/>
      <c r="G11" s="28"/>
      <c r="H11" s="156"/>
      <c r="I11" s="28"/>
      <c r="J11" s="32"/>
    </row>
    <row r="12" spans="1:9" s="8" customFormat="1" ht="15">
      <c r="A12" s="25"/>
      <c r="B12" s="86"/>
      <c r="C12" s="86"/>
      <c r="D12" s="86">
        <f>SUM(D4:D11)</f>
        <v>13550</v>
      </c>
      <c r="E12" s="1">
        <v>54.9</v>
      </c>
      <c r="F12" s="113"/>
      <c r="G12" s="28"/>
      <c r="H12" s="28"/>
      <c r="I12" s="28"/>
    </row>
    <row r="14" ht="28.5">
      <c r="A14" s="107"/>
    </row>
    <row r="15" ht="28.5">
      <c r="A15" s="107"/>
    </row>
    <row r="16" ht="28.5">
      <c r="A16" s="107"/>
    </row>
    <row r="75" spans="2:3" ht="15">
      <c r="B75" s="155">
        <f>'107'!I9</f>
        <v>3.9928833915211044</v>
      </c>
      <c r="C75">
        <v>107</v>
      </c>
    </row>
    <row r="195" spans="2:3" ht="15">
      <c r="B195" s="155">
        <f>'50'!H14+'107'!I8</f>
        <v>-0.013923862895580896</v>
      </c>
      <c r="C195" t="s">
        <v>925</v>
      </c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2"/>
  <sheetViews>
    <sheetView zoomScale="90" zoomScaleNormal="90" zoomScalePageLayoutView="0" workbookViewId="0" topLeftCell="A1">
      <selection activeCell="G10" sqref="G10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205</v>
      </c>
      <c r="B1" s="10">
        <v>42629</v>
      </c>
      <c r="C1" s="10"/>
      <c r="D1" s="10"/>
      <c r="E1" s="10"/>
      <c r="F1" s="11" t="s">
        <v>206</v>
      </c>
      <c r="G1" s="106">
        <f>74.33</f>
        <v>74.33</v>
      </c>
      <c r="H1" s="8" t="s">
        <v>207</v>
      </c>
      <c r="J1" s="154"/>
    </row>
    <row r="2" s="8" customFormat="1" ht="23.25" customHeight="1">
      <c r="A2" s="33" t="s">
        <v>938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94</v>
      </c>
      <c r="B4" s="22">
        <v>8.29</v>
      </c>
      <c r="C4" s="22">
        <f>B4*0.1</f>
        <v>0.829</v>
      </c>
      <c r="D4" s="22">
        <v>550</v>
      </c>
      <c r="E4" s="84">
        <f>D4/$D$9*$E$9</f>
        <v>2.2850467289719623</v>
      </c>
      <c r="F4" s="84">
        <f>B4+E4+C4</f>
        <v>11.404046728971963</v>
      </c>
      <c r="G4" s="145">
        <f>F4*$G$1</f>
        <v>847.662793364486</v>
      </c>
      <c r="H4" s="150">
        <v>852</v>
      </c>
      <c r="I4" s="146">
        <f>H4-G4</f>
        <v>4.337206635514008</v>
      </c>
    </row>
    <row r="5" spans="1:9" s="15" customFormat="1" ht="15">
      <c r="A5" s="103" t="s">
        <v>939</v>
      </c>
      <c r="B5" s="22">
        <v>10.75</v>
      </c>
      <c r="C5" s="22">
        <f>B5*0.1</f>
        <v>1.075</v>
      </c>
      <c r="D5" s="22">
        <v>450</v>
      </c>
      <c r="E5" s="84">
        <f>D5/$D$9*$E$9</f>
        <v>1.8695836873406966</v>
      </c>
      <c r="F5" s="84">
        <f>B5+E5+C5</f>
        <v>13.694583687340696</v>
      </c>
      <c r="G5" s="145">
        <f>F5*$G$1</f>
        <v>1017.9184054800339</v>
      </c>
      <c r="H5" s="150">
        <v>1024</v>
      </c>
      <c r="I5" s="146">
        <f>H5-G5</f>
        <v>6.081594519966075</v>
      </c>
    </row>
    <row r="6" spans="1:9" s="15" customFormat="1" ht="15">
      <c r="A6" s="103" t="s">
        <v>940</v>
      </c>
      <c r="B6" s="22">
        <v>11.58</v>
      </c>
      <c r="C6" s="22">
        <f>B6*0.1</f>
        <v>1.1580000000000001</v>
      </c>
      <c r="D6" s="22">
        <v>460</v>
      </c>
      <c r="E6" s="84">
        <f>D6/$D$9*$E$9</f>
        <v>1.9111299915038233</v>
      </c>
      <c r="F6" s="84">
        <f>B6+E6+C6</f>
        <v>14.649129991503823</v>
      </c>
      <c r="G6" s="145">
        <f>F6*$G$1</f>
        <v>1088.869832268479</v>
      </c>
      <c r="H6" s="150">
        <v>1090</v>
      </c>
      <c r="I6" s="146">
        <f>H6-G6</f>
        <v>1.1301677315209417</v>
      </c>
    </row>
    <row r="7" spans="1:9" s="8" customFormat="1" ht="15">
      <c r="A7" s="104" t="s">
        <v>764</v>
      </c>
      <c r="B7" s="22">
        <v>32.74</v>
      </c>
      <c r="C7" s="22">
        <f>B7*0.1</f>
        <v>3.2740000000000005</v>
      </c>
      <c r="D7" s="22">
        <v>1020</v>
      </c>
      <c r="E7" s="84">
        <f>D7/$D$9*$E$9</f>
        <v>4.237723024638912</v>
      </c>
      <c r="F7" s="84">
        <f>B7+E7+C7</f>
        <v>40.25172302463891</v>
      </c>
      <c r="G7" s="145">
        <f>F7*$G$1</f>
        <v>2991.9105724214105</v>
      </c>
      <c r="H7" s="150">
        <v>3011</v>
      </c>
      <c r="I7" s="146">
        <f>H7-G7</f>
        <v>19.089427578589493</v>
      </c>
    </row>
    <row r="8" spans="1:10" s="8" customFormat="1" ht="15">
      <c r="A8" s="103" t="s">
        <v>224</v>
      </c>
      <c r="B8" s="85"/>
      <c r="C8" s="85"/>
      <c r="D8" s="22">
        <v>9290</v>
      </c>
      <c r="E8" s="84">
        <f>D8/$D$9*$E$9</f>
        <v>38.596516567544604</v>
      </c>
      <c r="F8" s="85"/>
      <c r="G8" s="28"/>
      <c r="H8" s="156"/>
      <c r="I8" s="28"/>
      <c r="J8" s="32"/>
    </row>
    <row r="9" spans="1:9" s="8" customFormat="1" ht="15">
      <c r="A9" s="25"/>
      <c r="B9" s="86"/>
      <c r="C9" s="86"/>
      <c r="D9" s="86">
        <f>SUM(D4:D8)</f>
        <v>11770</v>
      </c>
      <c r="E9" s="1">
        <v>48.9</v>
      </c>
      <c r="F9" s="113"/>
      <c r="G9" s="28"/>
      <c r="H9" s="28"/>
      <c r="I9" s="28"/>
    </row>
    <row r="11" ht="28.5">
      <c r="A11" s="107"/>
    </row>
    <row r="12" ht="28.5">
      <c r="A12" s="107"/>
    </row>
    <row r="13" ht="28.5">
      <c r="A13" s="107"/>
    </row>
    <row r="72" spans="2:3" ht="15">
      <c r="B72" s="155">
        <f>'107'!I9</f>
        <v>3.9928833915211044</v>
      </c>
      <c r="C72">
        <v>107</v>
      </c>
    </row>
    <row r="192" spans="2:3" ht="15">
      <c r="B192" s="155">
        <f>'50'!H14+'107'!I8</f>
        <v>-0.013923862895580896</v>
      </c>
      <c r="C192" t="s">
        <v>925</v>
      </c>
    </row>
  </sheetData>
  <sheetProtection/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6"/>
  <sheetViews>
    <sheetView zoomScale="90" zoomScaleNormal="90"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23.00390625" style="0" customWidth="1"/>
  </cols>
  <sheetData>
    <row r="1" spans="1:10" s="8" customFormat="1" ht="21.75" customHeight="1">
      <c r="A1" s="9" t="s">
        <v>205</v>
      </c>
      <c r="B1" s="10">
        <v>42635</v>
      </c>
      <c r="C1" s="10"/>
      <c r="D1" s="10"/>
      <c r="E1" s="10"/>
      <c r="F1" s="11" t="s">
        <v>206</v>
      </c>
      <c r="G1" s="106">
        <f>73.6</f>
        <v>73.6</v>
      </c>
      <c r="H1" s="8" t="s">
        <v>207</v>
      </c>
      <c r="J1" s="154"/>
    </row>
    <row r="2" s="8" customFormat="1" ht="23.25" customHeight="1">
      <c r="A2" s="33" t="s">
        <v>943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882</v>
      </c>
      <c r="B4" s="22">
        <v>8.25</v>
      </c>
      <c r="C4" s="22">
        <f aca="true" t="shared" si="0" ref="C4:C9">B4*0.1</f>
        <v>0.8250000000000001</v>
      </c>
      <c r="D4" s="22">
        <v>240</v>
      </c>
      <c r="E4" s="84">
        <f aca="true" t="shared" si="1" ref="E4:E12">D4/$D$13*$E$13</f>
        <v>1.0353383458646617</v>
      </c>
      <c r="F4" s="84">
        <f aca="true" t="shared" si="2" ref="F4:F9">B4+E4+C4</f>
        <v>10.110338345864662</v>
      </c>
      <c r="G4" s="145">
        <f aca="true" t="shared" si="3" ref="G4:G9">F4*$G$1</f>
        <v>744.1209022556391</v>
      </c>
      <c r="H4" s="150">
        <v>873</v>
      </c>
      <c r="I4" s="146">
        <f aca="true" t="shared" si="4" ref="I4:I9">H4-G4</f>
        <v>128.87909774436093</v>
      </c>
    </row>
    <row r="5" spans="1:9" s="15" customFormat="1" ht="15">
      <c r="A5" s="103" t="s">
        <v>283</v>
      </c>
      <c r="B5" s="22">
        <v>6.31</v>
      </c>
      <c r="C5" s="22">
        <f t="shared" si="0"/>
        <v>0.631</v>
      </c>
      <c r="D5" s="22">
        <v>40</v>
      </c>
      <c r="E5" s="84">
        <f t="shared" si="1"/>
        <v>0.1725563909774436</v>
      </c>
      <c r="F5" s="84">
        <f t="shared" si="2"/>
        <v>7.113556390977443</v>
      </c>
      <c r="G5" s="145">
        <f t="shared" si="3"/>
        <v>523.5577503759398</v>
      </c>
      <c r="H5" s="119">
        <v>536</v>
      </c>
      <c r="I5" s="146">
        <f t="shared" si="4"/>
        <v>12.442249624060196</v>
      </c>
    </row>
    <row r="6" spans="1:10" s="15" customFormat="1" ht="30">
      <c r="A6" s="103" t="s">
        <v>944</v>
      </c>
      <c r="B6" s="22">
        <v>28.71</v>
      </c>
      <c r="C6" s="22">
        <f t="shared" si="0"/>
        <v>2.8710000000000004</v>
      </c>
      <c r="D6" s="22">
        <v>1010</v>
      </c>
      <c r="E6" s="84">
        <f t="shared" si="1"/>
        <v>4.357048872180451</v>
      </c>
      <c r="F6" s="84">
        <f t="shared" si="2"/>
        <v>35.93804887218045</v>
      </c>
      <c r="G6" s="145">
        <f t="shared" si="3"/>
        <v>2645.040396992481</v>
      </c>
      <c r="H6" s="150">
        <f>1000+1654-8</f>
        <v>2646</v>
      </c>
      <c r="I6" s="146">
        <f t="shared" si="4"/>
        <v>0.9596030075190356</v>
      </c>
      <c r="J6" s="15" t="s">
        <v>955</v>
      </c>
    </row>
    <row r="7" spans="1:9" s="8" customFormat="1" ht="15">
      <c r="A7" s="104" t="s">
        <v>168</v>
      </c>
      <c r="B7" s="22">
        <v>18.17</v>
      </c>
      <c r="C7" s="22">
        <f t="shared" si="0"/>
        <v>1.8170000000000002</v>
      </c>
      <c r="D7" s="22">
        <v>2350</v>
      </c>
      <c r="E7" s="84">
        <f t="shared" si="1"/>
        <v>10.137687969924812</v>
      </c>
      <c r="F7" s="84">
        <f t="shared" si="2"/>
        <v>30.124687969924814</v>
      </c>
      <c r="G7" s="145">
        <f t="shared" si="3"/>
        <v>2217.177034586466</v>
      </c>
      <c r="H7" s="119">
        <v>2203</v>
      </c>
      <c r="I7" s="146">
        <f t="shared" si="4"/>
        <v>-14.177034586466107</v>
      </c>
    </row>
    <row r="8" spans="1:9" s="15" customFormat="1" ht="15">
      <c r="A8" s="103" t="s">
        <v>630</v>
      </c>
      <c r="B8" s="22">
        <v>43.25</v>
      </c>
      <c r="C8" s="22">
        <f t="shared" si="0"/>
        <v>4.325</v>
      </c>
      <c r="D8" s="22">
        <v>250</v>
      </c>
      <c r="E8" s="84">
        <f t="shared" si="1"/>
        <v>1.0784774436090225</v>
      </c>
      <c r="F8" s="84">
        <f t="shared" si="2"/>
        <v>48.65347744360903</v>
      </c>
      <c r="G8" s="145">
        <f t="shared" si="3"/>
        <v>3580.895939849624</v>
      </c>
      <c r="H8" s="119">
        <v>3575</v>
      </c>
      <c r="I8" s="146">
        <f t="shared" si="4"/>
        <v>-5.895939849624028</v>
      </c>
    </row>
    <row r="9" spans="1:9" s="15" customFormat="1" ht="15">
      <c r="A9" s="103" t="s">
        <v>608</v>
      </c>
      <c r="B9" s="22">
        <v>24.99</v>
      </c>
      <c r="C9" s="22">
        <f t="shared" si="0"/>
        <v>2.499</v>
      </c>
      <c r="D9" s="22">
        <v>910</v>
      </c>
      <c r="E9" s="84">
        <f t="shared" si="1"/>
        <v>3.925657894736842</v>
      </c>
      <c r="F9" s="84">
        <f t="shared" si="2"/>
        <v>31.414657894736838</v>
      </c>
      <c r="G9" s="145">
        <f t="shared" si="3"/>
        <v>2312.118821052631</v>
      </c>
      <c r="H9" s="119">
        <v>2317</v>
      </c>
      <c r="I9" s="146">
        <f t="shared" si="4"/>
        <v>4.8811789473688805</v>
      </c>
    </row>
    <row r="10" spans="1:9" s="15" customFormat="1" ht="15">
      <c r="A10" s="103" t="s">
        <v>418</v>
      </c>
      <c r="B10" s="22">
        <v>16.58</v>
      </c>
      <c r="C10" s="22">
        <f>B10*0.1</f>
        <v>1.658</v>
      </c>
      <c r="D10" s="22">
        <v>1150</v>
      </c>
      <c r="E10" s="84">
        <f>D10/$D$13*$E$13</f>
        <v>4.960996240601504</v>
      </c>
      <c r="F10" s="84">
        <f>B10+E10+C10</f>
        <v>23.198996240601502</v>
      </c>
      <c r="G10" s="145">
        <f>F10*$G$1</f>
        <v>1707.4461233082704</v>
      </c>
      <c r="H10" s="119">
        <v>1717</v>
      </c>
      <c r="I10" s="146">
        <f>H10-G10</f>
        <v>9.553876691729556</v>
      </c>
    </row>
    <row r="11" spans="1:9" s="15" customFormat="1" ht="15">
      <c r="A11" s="103" t="s">
        <v>945</v>
      </c>
      <c r="B11" s="22">
        <v>9.08</v>
      </c>
      <c r="C11" s="22">
        <f>B11*0.1</f>
        <v>0.908</v>
      </c>
      <c r="D11" s="22">
        <v>140</v>
      </c>
      <c r="E11" s="84">
        <f>D11/$D$13*$E$13</f>
        <v>0.6039473684210526</v>
      </c>
      <c r="F11" s="84">
        <f>B11+E11+C11</f>
        <v>10.591947368421051</v>
      </c>
      <c r="G11" s="145">
        <f>F11*$G$1</f>
        <v>779.5673263157893</v>
      </c>
      <c r="H11" s="119">
        <v>778</v>
      </c>
      <c r="I11" s="146">
        <f>H11-G11</f>
        <v>-1.5673263157892734</v>
      </c>
    </row>
    <row r="12" spans="1:10" s="8" customFormat="1" ht="15">
      <c r="A12" s="103" t="s">
        <v>224</v>
      </c>
      <c r="B12" s="85"/>
      <c r="C12" s="85"/>
      <c r="D12" s="22">
        <v>4550</v>
      </c>
      <c r="E12" s="84">
        <f t="shared" si="1"/>
        <v>19.62828947368421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10640</v>
      </c>
      <c r="E13" s="1">
        <v>45.9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8.5">
      <c r="A17" s="107"/>
    </row>
    <row r="76" spans="2:3" ht="15">
      <c r="B76" s="155">
        <f>'107'!I9</f>
        <v>3.9928833915211044</v>
      </c>
      <c r="C76">
        <v>107</v>
      </c>
    </row>
    <row r="196" spans="2:3" ht="15">
      <c r="B196" s="155">
        <f>'50'!H14+'107'!I8</f>
        <v>-0.013923862895580896</v>
      </c>
      <c r="C196" t="s">
        <v>925</v>
      </c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H17" sqref="H17"/>
    </sheetView>
  </sheetViews>
  <sheetFormatPr defaultColWidth="9.140625" defaultRowHeight="15"/>
  <cols>
    <col min="1" max="1" width="18.00390625" style="0" customWidth="1"/>
    <col min="2" max="2" width="20.7109375" style="0" customWidth="1"/>
    <col min="5" max="5" width="10.00390625" style="0" customWidth="1"/>
  </cols>
  <sheetData>
    <row r="1" spans="1:10" s="8" customFormat="1" ht="21.75" customHeight="1">
      <c r="A1" s="9" t="s">
        <v>205</v>
      </c>
      <c r="B1" s="10">
        <v>42643</v>
      </c>
      <c r="C1" s="10"/>
      <c r="D1" s="10"/>
      <c r="E1" s="10"/>
      <c r="F1" s="11" t="s">
        <v>206</v>
      </c>
      <c r="G1" s="106">
        <v>71.98</v>
      </c>
      <c r="H1" s="8" t="s">
        <v>207</v>
      </c>
      <c r="J1" s="154"/>
    </row>
    <row r="2" s="8" customFormat="1" ht="23.25" customHeight="1">
      <c r="A2" s="33" t="s">
        <v>948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861</v>
      </c>
      <c r="B4" s="123"/>
      <c r="C4" s="123"/>
      <c r="D4" s="123"/>
      <c r="E4" s="84">
        <f aca="true" t="shared" si="0" ref="E4:E18">D4/$D$19*$E$19</f>
        <v>0</v>
      </c>
      <c r="F4" s="84">
        <f aca="true" t="shared" si="1" ref="F4:F9">B4+E4+C4</f>
        <v>0</v>
      </c>
      <c r="G4" s="145">
        <f aca="true" t="shared" si="2" ref="G4:G9">F4*$G$1</f>
        <v>0</v>
      </c>
      <c r="H4" s="150">
        <v>1003</v>
      </c>
      <c r="I4" s="146">
        <f aca="true" t="shared" si="3" ref="I4:I9">H4-G4</f>
        <v>1003</v>
      </c>
    </row>
    <row r="5" spans="1:9" s="15" customFormat="1" ht="15">
      <c r="A5" s="103" t="s">
        <v>939</v>
      </c>
      <c r="B5" s="22">
        <v>3.27</v>
      </c>
      <c r="C5" s="22">
        <f>B5*0.1</f>
        <v>0.327</v>
      </c>
      <c r="D5" s="22">
        <v>245</v>
      </c>
      <c r="E5" s="84">
        <f t="shared" si="0"/>
        <v>1.0639875666074599</v>
      </c>
      <c r="F5" s="84">
        <f t="shared" si="1"/>
        <v>4.66098756660746</v>
      </c>
      <c r="G5" s="145">
        <f t="shared" si="2"/>
        <v>335.497885044405</v>
      </c>
      <c r="H5" s="119">
        <v>330</v>
      </c>
      <c r="I5" s="146">
        <f t="shared" si="3"/>
        <v>-5.497885044404995</v>
      </c>
    </row>
    <row r="6" spans="1:9" s="15" customFormat="1" ht="15">
      <c r="A6" s="103" t="s">
        <v>949</v>
      </c>
      <c r="B6" s="22">
        <v>6.635</v>
      </c>
      <c r="C6" s="22">
        <f>B6*0.1</f>
        <v>0.6635</v>
      </c>
      <c r="D6" s="22">
        <v>570</v>
      </c>
      <c r="E6" s="84">
        <f t="shared" si="0"/>
        <v>2.475399644760213</v>
      </c>
      <c r="F6" s="84">
        <f t="shared" si="1"/>
        <v>9.773899644760213</v>
      </c>
      <c r="G6" s="145">
        <f t="shared" si="2"/>
        <v>703.5252964298402</v>
      </c>
      <c r="H6" s="150">
        <v>704</v>
      </c>
      <c r="I6" s="146">
        <f t="shared" si="3"/>
        <v>0.4747035701598179</v>
      </c>
    </row>
    <row r="7" spans="1:9" s="8" customFormat="1" ht="15">
      <c r="A7" s="104" t="s">
        <v>514</v>
      </c>
      <c r="B7" s="22">
        <v>16.43</v>
      </c>
      <c r="C7" s="22">
        <f>B7*0.1</f>
        <v>1.643</v>
      </c>
      <c r="D7" s="22">
        <v>70</v>
      </c>
      <c r="E7" s="84">
        <f t="shared" si="0"/>
        <v>0.3039964476021314</v>
      </c>
      <c r="F7" s="84">
        <f t="shared" si="1"/>
        <v>18.37699644760213</v>
      </c>
      <c r="G7" s="145">
        <f t="shared" si="2"/>
        <v>1322.7762042984016</v>
      </c>
      <c r="H7" s="119">
        <v>1348</v>
      </c>
      <c r="I7" s="146">
        <f t="shared" si="3"/>
        <v>25.22379570159842</v>
      </c>
    </row>
    <row r="8" spans="1:9" s="15" customFormat="1" ht="15">
      <c r="A8" s="103" t="s">
        <v>950</v>
      </c>
      <c r="B8" s="22">
        <v>6.54</v>
      </c>
      <c r="C8" s="22">
        <f>B8*0.1</f>
        <v>0.654</v>
      </c>
      <c r="D8" s="22">
        <v>490</v>
      </c>
      <c r="E8" s="84">
        <f t="shared" si="0"/>
        <v>2.1279751332149197</v>
      </c>
      <c r="F8" s="84">
        <f t="shared" si="1"/>
        <v>9.32197513321492</v>
      </c>
      <c r="G8" s="145">
        <f t="shared" si="2"/>
        <v>670.99577008881</v>
      </c>
      <c r="H8" s="119">
        <v>672</v>
      </c>
      <c r="I8" s="146">
        <f t="shared" si="3"/>
        <v>1.0042299111900093</v>
      </c>
    </row>
    <row r="9" spans="1:9" s="15" customFormat="1" ht="15">
      <c r="A9" s="103" t="s">
        <v>418</v>
      </c>
      <c r="B9" s="22">
        <v>51.68</v>
      </c>
      <c r="C9" s="22">
        <f>B9*0.1</f>
        <v>5.168</v>
      </c>
      <c r="D9" s="22">
        <v>440</v>
      </c>
      <c r="E9" s="84">
        <f t="shared" si="0"/>
        <v>1.910834813499112</v>
      </c>
      <c r="F9" s="84">
        <f t="shared" si="1"/>
        <v>58.758834813499114</v>
      </c>
      <c r="G9" s="145">
        <f t="shared" si="2"/>
        <v>4229.460929875667</v>
      </c>
      <c r="H9" s="119">
        <v>4255</v>
      </c>
      <c r="I9" s="146">
        <f t="shared" si="3"/>
        <v>25.539070124333193</v>
      </c>
    </row>
    <row r="10" spans="1:9" s="15" customFormat="1" ht="15">
      <c r="A10" s="103" t="s">
        <v>951</v>
      </c>
      <c r="B10" s="22">
        <v>7.04</v>
      </c>
      <c r="C10" s="22">
        <f aca="true" t="shared" si="4" ref="C10:C17">B10*0.1</f>
        <v>0.7040000000000001</v>
      </c>
      <c r="D10" s="22">
        <v>200</v>
      </c>
      <c r="E10" s="84">
        <f aca="true" t="shared" si="5" ref="E10:E17">D10/$D$19*$E$19</f>
        <v>0.8685612788632326</v>
      </c>
      <c r="F10" s="84">
        <f aca="true" t="shared" si="6" ref="F10:F17">B10+E10+C10</f>
        <v>8.612561278863232</v>
      </c>
      <c r="G10" s="145">
        <f aca="true" t="shared" si="7" ref="G10:G17">F10*$G$1</f>
        <v>619.9321608525755</v>
      </c>
      <c r="H10" s="119">
        <v>617</v>
      </c>
      <c r="I10" s="146">
        <f aca="true" t="shared" si="8" ref="I10:I17">H10-G10</f>
        <v>-2.932160852575521</v>
      </c>
    </row>
    <row r="11" spans="1:9" s="15" customFormat="1" ht="15">
      <c r="A11" s="103" t="s">
        <v>952</v>
      </c>
      <c r="B11" s="22">
        <v>12.92</v>
      </c>
      <c r="C11" s="22">
        <f t="shared" si="4"/>
        <v>1.292</v>
      </c>
      <c r="D11" s="22">
        <v>165</v>
      </c>
      <c r="E11" s="84">
        <f t="shared" si="5"/>
        <v>0.716563055062167</v>
      </c>
      <c r="F11" s="84">
        <f t="shared" si="6"/>
        <v>14.928563055062167</v>
      </c>
      <c r="G11" s="145">
        <f t="shared" si="7"/>
        <v>1074.5579687033749</v>
      </c>
      <c r="H11" s="150">
        <v>1100</v>
      </c>
      <c r="I11" s="146">
        <f t="shared" si="8"/>
        <v>25.442031296625146</v>
      </c>
    </row>
    <row r="12" spans="1:9" s="8" customFormat="1" ht="15">
      <c r="A12" s="104" t="s">
        <v>921</v>
      </c>
      <c r="B12" s="22">
        <v>24.84</v>
      </c>
      <c r="C12" s="22">
        <f t="shared" si="4"/>
        <v>2.484</v>
      </c>
      <c r="D12" s="22">
        <v>110</v>
      </c>
      <c r="E12" s="84">
        <f t="shared" si="5"/>
        <v>0.477708703374778</v>
      </c>
      <c r="F12" s="84">
        <f t="shared" si="6"/>
        <v>27.80170870337478</v>
      </c>
      <c r="G12" s="145">
        <f t="shared" si="7"/>
        <v>2001.1669924689168</v>
      </c>
      <c r="H12" s="119">
        <v>2019</v>
      </c>
      <c r="I12" s="146">
        <f t="shared" si="8"/>
        <v>17.83300753108324</v>
      </c>
    </row>
    <row r="13" spans="1:9" s="15" customFormat="1" ht="15">
      <c r="A13" s="103" t="s">
        <v>127</v>
      </c>
      <c r="B13" s="22">
        <v>18.96</v>
      </c>
      <c r="C13" s="22">
        <f t="shared" si="4"/>
        <v>1.8960000000000001</v>
      </c>
      <c r="D13" s="22">
        <v>555</v>
      </c>
      <c r="E13" s="84">
        <f t="shared" si="5"/>
        <v>2.4102575488454705</v>
      </c>
      <c r="F13" s="84">
        <f t="shared" si="6"/>
        <v>23.266257548845473</v>
      </c>
      <c r="G13" s="145">
        <f t="shared" si="7"/>
        <v>1674.7052183658973</v>
      </c>
      <c r="H13" s="119">
        <v>1687</v>
      </c>
      <c r="I13" s="146">
        <f t="shared" si="8"/>
        <v>12.29478163410272</v>
      </c>
    </row>
    <row r="14" spans="1:9" s="15" customFormat="1" ht="15">
      <c r="A14" s="103" t="s">
        <v>596</v>
      </c>
      <c r="B14" s="22">
        <v>30.71</v>
      </c>
      <c r="C14" s="22">
        <f t="shared" si="4"/>
        <v>3.071</v>
      </c>
      <c r="D14" s="22">
        <v>1010</v>
      </c>
      <c r="E14" s="84">
        <f t="shared" si="5"/>
        <v>4.386234458259325</v>
      </c>
      <c r="F14" s="84">
        <f t="shared" si="6"/>
        <v>38.16723445825932</v>
      </c>
      <c r="G14" s="145">
        <f t="shared" si="7"/>
        <v>2747.277536305506</v>
      </c>
      <c r="H14" s="119">
        <v>2743</v>
      </c>
      <c r="I14" s="146">
        <f t="shared" si="8"/>
        <v>-4.277536305506146</v>
      </c>
    </row>
    <row r="15" spans="1:9" s="15" customFormat="1" ht="15">
      <c r="A15" s="103" t="s">
        <v>134</v>
      </c>
      <c r="B15" s="22">
        <v>13.295</v>
      </c>
      <c r="C15" s="22">
        <f t="shared" si="4"/>
        <v>1.3295000000000001</v>
      </c>
      <c r="D15" s="22">
        <v>330</v>
      </c>
      <c r="E15" s="84">
        <f t="shared" si="5"/>
        <v>1.433126110124334</v>
      </c>
      <c r="F15" s="84">
        <f t="shared" si="6"/>
        <v>16.057626110124335</v>
      </c>
      <c r="G15" s="145">
        <f t="shared" si="7"/>
        <v>1155.8279274067497</v>
      </c>
      <c r="H15" s="119">
        <v>1160</v>
      </c>
      <c r="I15" s="146">
        <f t="shared" si="8"/>
        <v>4.172072593250277</v>
      </c>
    </row>
    <row r="16" spans="1:9" s="15" customFormat="1" ht="15">
      <c r="A16" s="103" t="s">
        <v>953</v>
      </c>
      <c r="B16" s="22">
        <v>44.5</v>
      </c>
      <c r="C16" s="22">
        <f t="shared" si="4"/>
        <v>4.45</v>
      </c>
      <c r="D16" s="22">
        <v>1325</v>
      </c>
      <c r="E16" s="84">
        <f t="shared" si="5"/>
        <v>5.754218472468916</v>
      </c>
      <c r="F16" s="84">
        <f t="shared" si="6"/>
        <v>54.704218472468916</v>
      </c>
      <c r="G16" s="145">
        <f t="shared" si="7"/>
        <v>3937.609645648313</v>
      </c>
      <c r="H16" s="119">
        <f>3964-26</f>
        <v>3938</v>
      </c>
      <c r="I16" s="146">
        <f t="shared" si="8"/>
        <v>0.39035435168716504</v>
      </c>
    </row>
    <row r="17" spans="1:9" s="15" customFormat="1" ht="15">
      <c r="A17" s="103" t="s">
        <v>548</v>
      </c>
      <c r="B17" s="22">
        <v>36.84</v>
      </c>
      <c r="C17" s="22">
        <f t="shared" si="4"/>
        <v>3.6840000000000006</v>
      </c>
      <c r="D17" s="22">
        <v>230</v>
      </c>
      <c r="E17" s="84">
        <f t="shared" si="5"/>
        <v>0.9988454706927176</v>
      </c>
      <c r="F17" s="84">
        <f t="shared" si="6"/>
        <v>41.522845470692715</v>
      </c>
      <c r="G17" s="145">
        <f t="shared" si="7"/>
        <v>2988.814416980462</v>
      </c>
      <c r="H17" s="119">
        <v>3014</v>
      </c>
      <c r="I17" s="146">
        <f t="shared" si="8"/>
        <v>25.18558301953817</v>
      </c>
    </row>
    <row r="18" spans="1:10" s="8" customFormat="1" ht="15">
      <c r="A18" s="103" t="s">
        <v>224</v>
      </c>
      <c r="B18" s="85"/>
      <c r="C18" s="85"/>
      <c r="D18" s="22">
        <v>5520</v>
      </c>
      <c r="E18" s="84">
        <f t="shared" si="0"/>
        <v>23.97229129662522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11260</v>
      </c>
      <c r="E19" s="1">
        <v>48.9</v>
      </c>
      <c r="F19" s="113"/>
      <c r="G19" s="28"/>
      <c r="H19" s="28"/>
      <c r="I19" s="28"/>
    </row>
    <row r="20" ht="15">
      <c r="E20" s="149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205</v>
      </c>
      <c r="B1" s="10">
        <v>42657</v>
      </c>
      <c r="C1" s="10"/>
      <c r="D1" s="10"/>
      <c r="E1" s="10"/>
      <c r="F1" s="11" t="s">
        <v>206</v>
      </c>
      <c r="G1" s="106">
        <v>71.42</v>
      </c>
      <c r="H1" s="8" t="s">
        <v>207</v>
      </c>
      <c r="J1" s="154"/>
    </row>
    <row r="2" s="8" customFormat="1" ht="15">
      <c r="A2" s="33" t="s">
        <v>956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858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5">D4/$D$16*$E$16</f>
        <v>2.617732943987258</v>
      </c>
      <c r="F4" s="84">
        <f aca="true" t="shared" si="2" ref="F4:F14">B4+E4+C4</f>
        <v>11.736732943987258</v>
      </c>
      <c r="G4" s="145">
        <f aca="true" t="shared" si="3" ref="G4:G14">F4*$G$1</f>
        <v>838.23746685957</v>
      </c>
      <c r="H4" s="119">
        <f>814+13</f>
        <v>827</v>
      </c>
      <c r="I4" s="146">
        <f aca="true" t="shared" si="4" ref="I4:I14">H4-G4</f>
        <v>-11.237466859569963</v>
      </c>
    </row>
    <row r="5" spans="1:9" s="15" customFormat="1" ht="15">
      <c r="A5" s="103" t="s">
        <v>957</v>
      </c>
      <c r="B5" s="22">
        <v>8.25</v>
      </c>
      <c r="C5" s="22">
        <f t="shared" si="0"/>
        <v>0.8250000000000001</v>
      </c>
      <c r="D5" s="22">
        <v>135</v>
      </c>
      <c r="E5" s="84">
        <f t="shared" si="1"/>
        <v>0.6199893814706663</v>
      </c>
      <c r="F5" s="84">
        <f t="shared" si="2"/>
        <v>9.694989381470666</v>
      </c>
      <c r="G5" s="145">
        <f t="shared" si="3"/>
        <v>692.416141624635</v>
      </c>
      <c r="H5" s="150">
        <v>683</v>
      </c>
      <c r="I5" s="146">
        <f t="shared" si="4"/>
        <v>-9.416141624634975</v>
      </c>
    </row>
    <row r="6" spans="1:9" s="8" customFormat="1" ht="15">
      <c r="A6" s="104" t="s">
        <v>190</v>
      </c>
      <c r="B6" s="22">
        <v>7.04</v>
      </c>
      <c r="C6" s="22">
        <f t="shared" si="0"/>
        <v>0.7040000000000001</v>
      </c>
      <c r="D6" s="22">
        <v>570</v>
      </c>
      <c r="E6" s="84">
        <f t="shared" si="1"/>
        <v>2.617732943987258</v>
      </c>
      <c r="F6" s="84">
        <f t="shared" si="2"/>
        <v>10.361732943987258</v>
      </c>
      <c r="G6" s="145">
        <f t="shared" si="3"/>
        <v>740.03496685957</v>
      </c>
      <c r="H6" s="119">
        <f>687+12</f>
        <v>699</v>
      </c>
      <c r="I6" s="146">
        <f t="shared" si="4"/>
        <v>-41.03496685956998</v>
      </c>
    </row>
    <row r="7" spans="1:9" s="15" customFormat="1" ht="15">
      <c r="A7" s="103" t="s">
        <v>63</v>
      </c>
      <c r="B7" s="22">
        <v>7.08</v>
      </c>
      <c r="C7" s="22">
        <f t="shared" si="0"/>
        <v>0.7080000000000001</v>
      </c>
      <c r="D7" s="22">
        <v>290</v>
      </c>
      <c r="E7" s="84">
        <f t="shared" si="1"/>
        <v>1.3318290416777276</v>
      </c>
      <c r="F7" s="84">
        <f t="shared" si="2"/>
        <v>9.119829041677727</v>
      </c>
      <c r="G7" s="145">
        <f t="shared" si="3"/>
        <v>651.3381901566233</v>
      </c>
      <c r="H7" s="119">
        <f>595+56</f>
        <v>651</v>
      </c>
      <c r="I7" s="146">
        <f t="shared" si="4"/>
        <v>-0.33819015662334095</v>
      </c>
    </row>
    <row r="8" spans="1:9" s="15" customFormat="1" ht="15">
      <c r="A8" s="103" t="s">
        <v>958</v>
      </c>
      <c r="B8" s="22">
        <v>6.58</v>
      </c>
      <c r="C8" s="22">
        <f t="shared" si="0"/>
        <v>0.658</v>
      </c>
      <c r="D8" s="22">
        <v>350</v>
      </c>
      <c r="E8" s="84">
        <f t="shared" si="1"/>
        <v>1.6073798778869126</v>
      </c>
      <c r="F8" s="84">
        <f t="shared" si="2"/>
        <v>8.845379877886913</v>
      </c>
      <c r="G8" s="145">
        <f t="shared" si="3"/>
        <v>631.7370308786833</v>
      </c>
      <c r="H8" s="119">
        <f>620+12</f>
        <v>632</v>
      </c>
      <c r="I8" s="146">
        <f t="shared" si="4"/>
        <v>0.2629691213167007</v>
      </c>
    </row>
    <row r="9" spans="1:9" s="15" customFormat="1" ht="15">
      <c r="A9" s="103" t="s">
        <v>959</v>
      </c>
      <c r="B9" s="22">
        <v>6.58</v>
      </c>
      <c r="C9" s="22">
        <f t="shared" si="0"/>
        <v>0.658</v>
      </c>
      <c r="D9" s="22">
        <v>130</v>
      </c>
      <c r="E9" s="84">
        <f t="shared" si="1"/>
        <v>0.5970268117865676</v>
      </c>
      <c r="F9" s="84">
        <f t="shared" si="2"/>
        <v>7.835026811786568</v>
      </c>
      <c r="G9" s="145">
        <f t="shared" si="3"/>
        <v>559.5776148977967</v>
      </c>
      <c r="H9" s="119">
        <v>543</v>
      </c>
      <c r="I9" s="146">
        <f t="shared" si="4"/>
        <v>-16.577614897796707</v>
      </c>
    </row>
    <row r="10" spans="1:9" s="15" customFormat="1" ht="15">
      <c r="A10" s="103" t="s">
        <v>127</v>
      </c>
      <c r="B10" s="22">
        <v>8.29</v>
      </c>
      <c r="C10" s="22">
        <f t="shared" si="0"/>
        <v>0.829</v>
      </c>
      <c r="D10" s="22">
        <v>260</v>
      </c>
      <c r="E10" s="84">
        <f t="shared" si="1"/>
        <v>1.1940536235731352</v>
      </c>
      <c r="F10" s="84">
        <f t="shared" si="2"/>
        <v>10.313053623573134</v>
      </c>
      <c r="G10" s="145">
        <f t="shared" si="3"/>
        <v>736.5582897955933</v>
      </c>
      <c r="H10" s="150">
        <f>729+18</f>
        <v>747</v>
      </c>
      <c r="I10" s="146">
        <f t="shared" si="4"/>
        <v>10.441710204406718</v>
      </c>
    </row>
    <row r="11" spans="1:9" s="8" customFormat="1" ht="15">
      <c r="A11" s="104" t="s">
        <v>960</v>
      </c>
      <c r="B11" s="22">
        <v>10.76</v>
      </c>
      <c r="C11" s="22">
        <f t="shared" si="0"/>
        <v>1.076</v>
      </c>
      <c r="D11" s="22">
        <v>360</v>
      </c>
      <c r="E11" s="84">
        <f t="shared" si="1"/>
        <v>1.6533050172551103</v>
      </c>
      <c r="F11" s="84">
        <f t="shared" si="2"/>
        <v>13.489305017255111</v>
      </c>
      <c r="G11" s="145">
        <f t="shared" si="3"/>
        <v>963.40616433236</v>
      </c>
      <c r="H11" s="119">
        <v>945.1</v>
      </c>
      <c r="I11" s="146">
        <f t="shared" si="4"/>
        <v>-18.306164332360026</v>
      </c>
    </row>
    <row r="12" spans="1:9" s="15" customFormat="1" ht="15">
      <c r="A12" s="103" t="s">
        <v>961</v>
      </c>
      <c r="B12" s="22">
        <v>15.67</v>
      </c>
      <c r="C12" s="22">
        <f t="shared" si="0"/>
        <v>1.5670000000000002</v>
      </c>
      <c r="D12" s="22">
        <v>470</v>
      </c>
      <c r="E12" s="84">
        <f t="shared" si="1"/>
        <v>2.1584815503052823</v>
      </c>
      <c r="F12" s="84">
        <f t="shared" si="2"/>
        <v>19.395481550305284</v>
      </c>
      <c r="G12" s="145">
        <f t="shared" si="3"/>
        <v>1385.2252923228034</v>
      </c>
      <c r="H12" s="119">
        <f>1370+15</f>
        <v>1385</v>
      </c>
      <c r="I12" s="146">
        <f t="shared" si="4"/>
        <v>-0.22529232280339784</v>
      </c>
    </row>
    <row r="13" spans="1:9" s="15" customFormat="1" ht="15">
      <c r="A13" s="103" t="s">
        <v>747</v>
      </c>
      <c r="B13" s="22">
        <f>17.83-2.1</f>
        <v>15.729999999999999</v>
      </c>
      <c r="C13" s="22">
        <f t="shared" si="0"/>
        <v>1.573</v>
      </c>
      <c r="D13" s="22">
        <v>646</v>
      </c>
      <c r="E13" s="84">
        <f t="shared" si="1"/>
        <v>2.966764003185559</v>
      </c>
      <c r="F13" s="84">
        <f t="shared" si="2"/>
        <v>20.269764003185557</v>
      </c>
      <c r="G13" s="145">
        <f t="shared" si="3"/>
        <v>1447.6665451075125</v>
      </c>
      <c r="H13" s="119">
        <v>1599</v>
      </c>
      <c r="I13" s="146">
        <f t="shared" si="4"/>
        <v>151.33345489248745</v>
      </c>
    </row>
    <row r="14" spans="1:9" s="15" customFormat="1" ht="15">
      <c r="A14" s="103" t="s">
        <v>580</v>
      </c>
      <c r="B14" s="22">
        <v>27</v>
      </c>
      <c r="C14" s="22">
        <f t="shared" si="0"/>
        <v>2.7</v>
      </c>
      <c r="D14" s="22">
        <v>1110</v>
      </c>
      <c r="E14" s="84">
        <f t="shared" si="1"/>
        <v>5.0976904698699235</v>
      </c>
      <c r="F14" s="84">
        <f t="shared" si="2"/>
        <v>34.79769046986993</v>
      </c>
      <c r="G14" s="145">
        <f t="shared" si="3"/>
        <v>2485.2510533581103</v>
      </c>
      <c r="H14" s="119">
        <v>2440</v>
      </c>
      <c r="I14" s="146">
        <f t="shared" si="4"/>
        <v>-45.25105335811031</v>
      </c>
    </row>
    <row r="15" spans="1:10" s="8" customFormat="1" ht="15">
      <c r="A15" s="103" t="s">
        <v>224</v>
      </c>
      <c r="B15" s="85"/>
      <c r="C15" s="85"/>
      <c r="D15" s="22">
        <v>6410</v>
      </c>
      <c r="E15" s="84">
        <f t="shared" si="1"/>
        <v>29.4380143350146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11301</v>
      </c>
      <c r="E16" s="1">
        <v>51.9</v>
      </c>
      <c r="F16" s="113"/>
      <c r="G16" s="28"/>
      <c r="H16" s="28"/>
      <c r="I16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2">
      <selection activeCell="H14" sqref="H14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205</v>
      </c>
      <c r="B1" s="10">
        <v>42664</v>
      </c>
      <c r="C1" s="10"/>
      <c r="D1" s="10"/>
      <c r="E1" s="10"/>
      <c r="F1" s="11" t="s">
        <v>206</v>
      </c>
      <c r="G1" s="106">
        <v>69.33</v>
      </c>
      <c r="H1" s="8" t="s">
        <v>207</v>
      </c>
      <c r="J1" s="154"/>
    </row>
    <row r="2" s="8" customFormat="1" ht="15">
      <c r="A2" s="33" t="s">
        <v>966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967</v>
      </c>
      <c r="B4" s="22">
        <v>11.245</v>
      </c>
      <c r="C4" s="22">
        <f aca="true" t="shared" si="0" ref="C4:C14">B4*0.1</f>
        <v>1.1245</v>
      </c>
      <c r="D4" s="22">
        <v>450</v>
      </c>
      <c r="E4" s="84">
        <f aca="true" t="shared" si="1" ref="E4:E14">D4/$D$19*$E$19</f>
        <v>1.7405525563671007</v>
      </c>
      <c r="F4" s="84">
        <f aca="true" t="shared" si="2" ref="F4:F14">B4+E4+C4</f>
        <v>14.1100525563671</v>
      </c>
      <c r="G4" s="145">
        <f>F4*$G$1</f>
        <v>978.249943732931</v>
      </c>
      <c r="H4" s="119">
        <v>987</v>
      </c>
      <c r="I4" s="146">
        <f aca="true" t="shared" si="3" ref="I4:I14">H4-G4</f>
        <v>8.750056267068999</v>
      </c>
    </row>
    <row r="5" spans="1:9" s="15" customFormat="1" ht="15">
      <c r="A5" s="103" t="s">
        <v>968</v>
      </c>
      <c r="B5" s="22">
        <v>11.245</v>
      </c>
      <c r="C5" s="22">
        <f t="shared" si="0"/>
        <v>1.1245</v>
      </c>
      <c r="D5" s="22">
        <v>450</v>
      </c>
      <c r="E5" s="84">
        <f t="shared" si="1"/>
        <v>1.7405525563671007</v>
      </c>
      <c r="F5" s="84">
        <f t="shared" si="2"/>
        <v>14.1100525563671</v>
      </c>
      <c r="G5" s="145">
        <f aca="true" t="shared" si="4" ref="G5:G14">F5*$G$1</f>
        <v>978.249943732931</v>
      </c>
      <c r="H5" s="150">
        <v>986</v>
      </c>
      <c r="I5" s="146">
        <f t="shared" si="3"/>
        <v>7.750056267068999</v>
      </c>
    </row>
    <row r="6" spans="1:9" s="8" customFormat="1" ht="15">
      <c r="A6" s="104" t="s">
        <v>630</v>
      </c>
      <c r="B6" s="22">
        <v>13.25</v>
      </c>
      <c r="C6" s="22">
        <f t="shared" si="0"/>
        <v>1.3250000000000002</v>
      </c>
      <c r="D6" s="22">
        <v>65</v>
      </c>
      <c r="E6" s="84">
        <f t="shared" si="1"/>
        <v>0.2514131470308034</v>
      </c>
      <c r="F6" s="84">
        <f t="shared" si="2"/>
        <v>14.826413147030802</v>
      </c>
      <c r="G6" s="145">
        <f t="shared" si="4"/>
        <v>1027.9152234836456</v>
      </c>
      <c r="H6" s="119">
        <v>1036</v>
      </c>
      <c r="I6" s="146">
        <f t="shared" si="3"/>
        <v>8.084776516354395</v>
      </c>
    </row>
    <row r="7" spans="1:9" s="15" customFormat="1" ht="15">
      <c r="A7" s="103" t="s">
        <v>519</v>
      </c>
      <c r="B7" s="22">
        <v>9.72</v>
      </c>
      <c r="C7" s="22">
        <f t="shared" si="0"/>
        <v>0.9720000000000001</v>
      </c>
      <c r="D7" s="22">
        <v>510</v>
      </c>
      <c r="E7" s="84">
        <f t="shared" si="1"/>
        <v>1.972626230549381</v>
      </c>
      <c r="F7" s="84">
        <f t="shared" si="2"/>
        <v>12.66462623054938</v>
      </c>
      <c r="G7" s="145">
        <f t="shared" si="4"/>
        <v>878.0385365639885</v>
      </c>
      <c r="H7" s="119">
        <f>870+8</f>
        <v>878</v>
      </c>
      <c r="I7" s="146">
        <f t="shared" si="3"/>
        <v>-0.038536563988486705</v>
      </c>
    </row>
    <row r="8" spans="1:9" s="15" customFormat="1" ht="15">
      <c r="A8" s="103" t="s">
        <v>694</v>
      </c>
      <c r="B8" s="22">
        <v>9.58</v>
      </c>
      <c r="C8" s="22">
        <f t="shared" si="0"/>
        <v>0.9580000000000001</v>
      </c>
      <c r="D8" s="22">
        <v>65</v>
      </c>
      <c r="E8" s="84">
        <f t="shared" si="1"/>
        <v>0.2514131470308034</v>
      </c>
      <c r="F8" s="84">
        <f t="shared" si="2"/>
        <v>10.789413147030803</v>
      </c>
      <c r="G8" s="145">
        <f t="shared" si="4"/>
        <v>748.0300134836456</v>
      </c>
      <c r="H8" s="119">
        <v>748</v>
      </c>
      <c r="I8" s="146">
        <f t="shared" si="3"/>
        <v>-0.030013483645575434</v>
      </c>
    </row>
    <row r="9" spans="1:9" s="15" customFormat="1" ht="15">
      <c r="A9" s="103" t="s">
        <v>969</v>
      </c>
      <c r="B9" s="22">
        <v>4.92</v>
      </c>
      <c r="C9" s="22">
        <f t="shared" si="0"/>
        <v>0.492</v>
      </c>
      <c r="D9" s="22">
        <v>110</v>
      </c>
      <c r="E9" s="84">
        <f t="shared" si="1"/>
        <v>0.42546840266751346</v>
      </c>
      <c r="F9" s="84">
        <f t="shared" si="2"/>
        <v>5.837468402667513</v>
      </c>
      <c r="G9" s="145">
        <f t="shared" si="4"/>
        <v>404.7116843569387</v>
      </c>
      <c r="H9" s="119">
        <v>405</v>
      </c>
      <c r="I9" s="146">
        <f t="shared" si="3"/>
        <v>0.28831564306130986</v>
      </c>
    </row>
    <row r="10" spans="1:9" s="15" customFormat="1" ht="15">
      <c r="A10" s="103" t="s">
        <v>416</v>
      </c>
      <c r="B10" s="22">
        <v>3.68</v>
      </c>
      <c r="C10" s="22">
        <f t="shared" si="0"/>
        <v>0.36800000000000005</v>
      </c>
      <c r="D10" s="22">
        <v>50</v>
      </c>
      <c r="E10" s="84">
        <f t="shared" si="1"/>
        <v>0.1933947284852334</v>
      </c>
      <c r="F10" s="84">
        <f t="shared" si="2"/>
        <v>4.241394728485234</v>
      </c>
      <c r="G10" s="145">
        <f t="shared" si="4"/>
        <v>294.0558965258812</v>
      </c>
      <c r="H10" s="150">
        <v>299</v>
      </c>
      <c r="I10" s="146">
        <f t="shared" si="3"/>
        <v>4.944103474118776</v>
      </c>
    </row>
    <row r="11" spans="1:9" s="8" customFormat="1" ht="15">
      <c r="A11" s="104" t="s">
        <v>921</v>
      </c>
      <c r="B11" s="22">
        <v>14.92</v>
      </c>
      <c r="C11" s="22">
        <f t="shared" si="0"/>
        <v>1.492</v>
      </c>
      <c r="D11" s="22">
        <v>65</v>
      </c>
      <c r="E11" s="84">
        <f t="shared" si="1"/>
        <v>0.2514131470308034</v>
      </c>
      <c r="F11" s="84">
        <f t="shared" si="2"/>
        <v>16.663413147030802</v>
      </c>
      <c r="G11" s="145">
        <f t="shared" si="4"/>
        <v>1155.2744334836455</v>
      </c>
      <c r="H11" s="119">
        <v>1165</v>
      </c>
      <c r="I11" s="146">
        <f t="shared" si="3"/>
        <v>9.725566516354547</v>
      </c>
    </row>
    <row r="12" spans="1:9" s="15" customFormat="1" ht="15">
      <c r="A12" s="103" t="s">
        <v>850</v>
      </c>
      <c r="B12" s="22">
        <v>8.25</v>
      </c>
      <c r="C12" s="22">
        <f t="shared" si="0"/>
        <v>0.8250000000000001</v>
      </c>
      <c r="D12" s="22">
        <v>125</v>
      </c>
      <c r="E12" s="84">
        <f t="shared" si="1"/>
        <v>0.4834868212130835</v>
      </c>
      <c r="F12" s="84">
        <f t="shared" si="2"/>
        <v>9.558486821213084</v>
      </c>
      <c r="G12" s="145">
        <f t="shared" si="4"/>
        <v>662.6898913147031</v>
      </c>
      <c r="H12" s="119">
        <v>669</v>
      </c>
      <c r="I12" s="146">
        <f t="shared" si="3"/>
        <v>6.310108685296882</v>
      </c>
    </row>
    <row r="13" spans="1:9" s="15" customFormat="1" ht="15">
      <c r="A13" s="103" t="s">
        <v>970</v>
      </c>
      <c r="B13" s="22">
        <v>15.75</v>
      </c>
      <c r="C13" s="22">
        <f t="shared" si="0"/>
        <v>1.5750000000000002</v>
      </c>
      <c r="D13" s="22">
        <v>200</v>
      </c>
      <c r="E13" s="84">
        <f>D13/$D$19*$E$19</f>
        <v>0.7735789139409336</v>
      </c>
      <c r="F13" s="84">
        <f t="shared" si="2"/>
        <v>18.098578913940933</v>
      </c>
      <c r="G13" s="145">
        <f t="shared" si="4"/>
        <v>1254.7744761035249</v>
      </c>
      <c r="H13" s="119">
        <f>1237+17</f>
        <v>1254</v>
      </c>
      <c r="I13" s="146">
        <f t="shared" si="3"/>
        <v>-0.7744761035248757</v>
      </c>
    </row>
    <row r="14" spans="1:9" s="15" customFormat="1" ht="15">
      <c r="A14" s="103" t="s">
        <v>418</v>
      </c>
      <c r="B14" s="22">
        <v>71.26</v>
      </c>
      <c r="C14" s="22">
        <f t="shared" si="0"/>
        <v>7.126000000000001</v>
      </c>
      <c r="D14" s="22">
        <v>590</v>
      </c>
      <c r="E14" s="84">
        <f t="shared" si="1"/>
        <v>2.282057796125754</v>
      </c>
      <c r="F14" s="84">
        <f t="shared" si="2"/>
        <v>80.66805779612577</v>
      </c>
      <c r="G14" s="145">
        <f t="shared" si="4"/>
        <v>5592.7164470053995</v>
      </c>
      <c r="H14" s="119">
        <v>5601</v>
      </c>
      <c r="I14" s="146">
        <f t="shared" si="3"/>
        <v>8.28355299460054</v>
      </c>
    </row>
    <row r="15" spans="1:9" s="15" customFormat="1" ht="15">
      <c r="A15" s="103" t="s">
        <v>824</v>
      </c>
      <c r="B15" s="22">
        <v>29.39</v>
      </c>
      <c r="C15" s="22">
        <f>B15*0.1</f>
        <v>2.939</v>
      </c>
      <c r="D15" s="22">
        <v>870</v>
      </c>
      <c r="E15" s="84">
        <f>D15/$D$19*$E$19</f>
        <v>3.365068275643061</v>
      </c>
      <c r="F15" s="84">
        <f>B15+E15+C15</f>
        <v>35.69406827564306</v>
      </c>
      <c r="G15" s="145">
        <f>F15*$G$1</f>
        <v>2474.6697535503336</v>
      </c>
      <c r="H15" s="119">
        <v>2468</v>
      </c>
      <c r="I15" s="146">
        <f>H15-G15</f>
        <v>-6.669753550333553</v>
      </c>
    </row>
    <row r="16" spans="1:9" s="15" customFormat="1" ht="15">
      <c r="A16" s="103" t="s">
        <v>971</v>
      </c>
      <c r="B16" s="22">
        <v>13.37</v>
      </c>
      <c r="C16" s="22">
        <f>B16*0.1</f>
        <v>1.337</v>
      </c>
      <c r="D16" s="22">
        <v>245</v>
      </c>
      <c r="E16" s="84">
        <f>D16/$D$19*$E$19</f>
        <v>0.9476341695776437</v>
      </c>
      <c r="F16" s="84">
        <f>B16+E16+C16</f>
        <v>15.654634169577642</v>
      </c>
      <c r="G16" s="145">
        <f>F16*$G$1</f>
        <v>1085.3357869768179</v>
      </c>
      <c r="H16" s="119">
        <f>1000+98</f>
        <v>1098</v>
      </c>
      <c r="I16" s="146">
        <f>H16-G16</f>
        <v>12.664213023182128</v>
      </c>
    </row>
    <row r="17" spans="1:9" s="15" customFormat="1" ht="15">
      <c r="A17" s="103" t="s">
        <v>254</v>
      </c>
      <c r="B17" s="22">
        <v>19.5</v>
      </c>
      <c r="C17" s="22">
        <f>B17*0.1</f>
        <v>1.9500000000000002</v>
      </c>
      <c r="D17" s="22">
        <v>675</v>
      </c>
      <c r="E17" s="84">
        <f>D17/$D$19*$E$19</f>
        <v>2.610828834550651</v>
      </c>
      <c r="F17" s="84">
        <f>B17+E17+C17</f>
        <v>24.06082883455065</v>
      </c>
      <c r="G17" s="145">
        <f>F17*$G$1</f>
        <v>1668.1372630993967</v>
      </c>
      <c r="H17" s="119">
        <v>1668</v>
      </c>
      <c r="I17" s="146">
        <f>H17-G17</f>
        <v>-0.137263099396705</v>
      </c>
    </row>
    <row r="18" spans="1:10" s="8" customFormat="1" ht="15">
      <c r="A18" s="103" t="s">
        <v>224</v>
      </c>
      <c r="B18" s="85"/>
      <c r="C18" s="85"/>
      <c r="D18" s="22">
        <v>11275</v>
      </c>
      <c r="E18" s="84">
        <f>D18/$D$19*$E$19</f>
        <v>43.61051127342013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15745</v>
      </c>
      <c r="E19" s="1">
        <v>60.9</v>
      </c>
      <c r="F19" s="113"/>
      <c r="G19" s="28"/>
      <c r="H19" s="28"/>
      <c r="I19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7">
      <selection activeCell="H12" sqref="H12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205</v>
      </c>
      <c r="B1" s="10">
        <v>42671</v>
      </c>
      <c r="C1" s="10"/>
      <c r="D1" s="10"/>
      <c r="E1" s="10"/>
      <c r="F1" s="11" t="s">
        <v>206</v>
      </c>
      <c r="G1" s="106">
        <v>71.23</v>
      </c>
      <c r="H1" s="8" t="s">
        <v>207</v>
      </c>
      <c r="J1" s="154"/>
    </row>
    <row r="2" s="8" customFormat="1" ht="15">
      <c r="A2" s="33" t="s">
        <v>973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447</v>
      </c>
      <c r="B4" s="22">
        <v>11.040000000000001</v>
      </c>
      <c r="C4" s="22">
        <f aca="true" t="shared" si="0" ref="C4:C14">B4*0.1</f>
        <v>1.104</v>
      </c>
      <c r="D4" s="22">
        <v>150</v>
      </c>
      <c r="E4" s="84">
        <f aca="true" t="shared" si="1" ref="E4:E14">D4/$D$18*$E$18</f>
        <v>0.8033642691415313</v>
      </c>
      <c r="F4" s="84">
        <f aca="true" t="shared" si="2" ref="F4:F14">B4+E4+C4</f>
        <v>12.94736426914153</v>
      </c>
      <c r="G4" s="145">
        <f>F4*$G$1</f>
        <v>922.2407568909513</v>
      </c>
      <c r="H4" s="119">
        <f>895+27</f>
        <v>922</v>
      </c>
      <c r="I4" s="146">
        <f aca="true" t="shared" si="3" ref="I4:I14">H4-G4</f>
        <v>-0.24075689095127473</v>
      </c>
    </row>
    <row r="5" spans="1:9" s="15" customFormat="1" ht="15">
      <c r="A5" s="103" t="s">
        <v>882</v>
      </c>
      <c r="B5" s="22">
        <v>10.9</v>
      </c>
      <c r="C5" s="22">
        <f t="shared" si="0"/>
        <v>1.09</v>
      </c>
      <c r="D5" s="22">
        <v>70</v>
      </c>
      <c r="E5" s="84">
        <f t="shared" si="1"/>
        <v>0.3749033255993813</v>
      </c>
      <c r="F5" s="84">
        <f t="shared" si="2"/>
        <v>12.364903325599382</v>
      </c>
      <c r="G5" s="145">
        <f aca="true" t="shared" si="4" ref="G5:G14">F5*$G$1</f>
        <v>880.7520638824441</v>
      </c>
      <c r="H5" s="150">
        <v>910</v>
      </c>
      <c r="I5" s="146">
        <f t="shared" si="3"/>
        <v>29.247936117555923</v>
      </c>
    </row>
    <row r="6" spans="1:9" s="8" customFormat="1" ht="15">
      <c r="A6" s="104" t="s">
        <v>861</v>
      </c>
      <c r="B6" s="22">
        <v>14.08</v>
      </c>
      <c r="C6" s="22">
        <f t="shared" si="0"/>
        <v>1.4080000000000001</v>
      </c>
      <c r="D6" s="22">
        <v>400</v>
      </c>
      <c r="E6" s="84">
        <f t="shared" si="1"/>
        <v>2.14230471771075</v>
      </c>
      <c r="F6" s="84">
        <f t="shared" si="2"/>
        <v>17.63030471771075</v>
      </c>
      <c r="G6" s="145">
        <f t="shared" si="4"/>
        <v>1255.8066050425368</v>
      </c>
      <c r="H6" s="158">
        <v>283</v>
      </c>
      <c r="I6" s="146">
        <f t="shared" si="3"/>
        <v>-972.8066050425368</v>
      </c>
    </row>
    <row r="7" spans="1:9" s="15" customFormat="1" ht="15">
      <c r="A7" s="103" t="s">
        <v>974</v>
      </c>
      <c r="B7" s="22">
        <v>4.43</v>
      </c>
      <c r="C7" s="22">
        <f t="shared" si="0"/>
        <v>0.443</v>
      </c>
      <c r="D7" s="22">
        <v>190</v>
      </c>
      <c r="E7" s="84">
        <f t="shared" si="1"/>
        <v>1.0175947409126065</v>
      </c>
      <c r="F7" s="84">
        <f t="shared" si="2"/>
        <v>5.890594740912606</v>
      </c>
      <c r="G7" s="145">
        <f t="shared" si="4"/>
        <v>419.58706339520495</v>
      </c>
      <c r="H7" s="119">
        <f>305+97+18</f>
        <v>420</v>
      </c>
      <c r="I7" s="146">
        <f t="shared" si="3"/>
        <v>0.4129366047950498</v>
      </c>
    </row>
    <row r="8" spans="1:9" s="15" customFormat="1" ht="15">
      <c r="A8" s="103" t="s">
        <v>508</v>
      </c>
      <c r="B8" s="22">
        <v>12.08</v>
      </c>
      <c r="C8" s="22">
        <f t="shared" si="0"/>
        <v>1.2080000000000002</v>
      </c>
      <c r="D8" s="22">
        <v>230</v>
      </c>
      <c r="E8" s="84">
        <f t="shared" si="1"/>
        <v>1.2318252126836815</v>
      </c>
      <c r="F8" s="84">
        <f t="shared" si="2"/>
        <v>14.519825212683681</v>
      </c>
      <c r="G8" s="145">
        <f t="shared" si="4"/>
        <v>1034.2471498994587</v>
      </c>
      <c r="H8" s="119">
        <f>997+38</f>
        <v>1035</v>
      </c>
      <c r="I8" s="146">
        <f t="shared" si="3"/>
        <v>0.7528501005413091</v>
      </c>
    </row>
    <row r="9" spans="1:9" s="15" customFormat="1" ht="15">
      <c r="A9" s="103" t="s">
        <v>860</v>
      </c>
      <c r="B9" s="22">
        <v>9.92</v>
      </c>
      <c r="C9" s="22">
        <f t="shared" si="0"/>
        <v>0.992</v>
      </c>
      <c r="D9" s="22">
        <v>65</v>
      </c>
      <c r="E9" s="84">
        <f t="shared" si="1"/>
        <v>0.3481245166279969</v>
      </c>
      <c r="F9" s="84">
        <f t="shared" si="2"/>
        <v>11.260124516627997</v>
      </c>
      <c r="G9" s="145">
        <f t="shared" si="4"/>
        <v>802.0586693194123</v>
      </c>
      <c r="H9" s="119">
        <v>788</v>
      </c>
      <c r="I9" s="146">
        <f t="shared" si="3"/>
        <v>-14.058669319412274</v>
      </c>
    </row>
    <row r="10" spans="1:9" s="15" customFormat="1" ht="15">
      <c r="A10" s="103" t="s">
        <v>631</v>
      </c>
      <c r="B10" s="22">
        <v>9.58</v>
      </c>
      <c r="C10" s="22">
        <f t="shared" si="0"/>
        <v>0.9580000000000001</v>
      </c>
      <c r="D10" s="22">
        <v>220</v>
      </c>
      <c r="E10" s="84">
        <f t="shared" si="1"/>
        <v>1.1782675947409127</v>
      </c>
      <c r="F10" s="84">
        <f t="shared" si="2"/>
        <v>11.716267594740913</v>
      </c>
      <c r="G10" s="145">
        <f t="shared" si="4"/>
        <v>834.5497407733952</v>
      </c>
      <c r="H10" s="119">
        <f>821+13</f>
        <v>834</v>
      </c>
      <c r="I10" s="146">
        <f t="shared" si="3"/>
        <v>-0.5497407733952286</v>
      </c>
    </row>
    <row r="11" spans="1:9" s="8" customFormat="1" ht="15">
      <c r="A11" s="104" t="s">
        <v>95</v>
      </c>
      <c r="B11" s="22">
        <v>20.18</v>
      </c>
      <c r="C11" s="22">
        <f t="shared" si="0"/>
        <v>2.0180000000000002</v>
      </c>
      <c r="D11" s="22">
        <v>80</v>
      </c>
      <c r="E11" s="84">
        <f t="shared" si="1"/>
        <v>0.4284609435421501</v>
      </c>
      <c r="F11" s="84">
        <f t="shared" si="2"/>
        <v>22.62646094354215</v>
      </c>
      <c r="G11" s="145">
        <f t="shared" si="4"/>
        <v>1611.6828130085073</v>
      </c>
      <c r="H11" s="119">
        <f>1585+26</f>
        <v>1611</v>
      </c>
      <c r="I11" s="146">
        <f t="shared" si="3"/>
        <v>-0.6828130085073099</v>
      </c>
    </row>
    <row r="12" spans="1:9" s="15" customFormat="1" ht="15">
      <c r="A12" s="103" t="s">
        <v>975</v>
      </c>
      <c r="B12" s="22">
        <v>21.58</v>
      </c>
      <c r="C12" s="22">
        <f t="shared" si="0"/>
        <v>2.158</v>
      </c>
      <c r="D12" s="22">
        <v>30</v>
      </c>
      <c r="E12" s="84">
        <f t="shared" si="1"/>
        <v>0.16067285382830626</v>
      </c>
      <c r="F12" s="84">
        <f t="shared" si="2"/>
        <v>23.898672853828305</v>
      </c>
      <c r="G12" s="145">
        <f t="shared" si="4"/>
        <v>1702.3024673781904</v>
      </c>
      <c r="H12" s="119">
        <v>1676</v>
      </c>
      <c r="I12" s="146">
        <f t="shared" si="3"/>
        <v>-26.302467378190386</v>
      </c>
    </row>
    <row r="13" spans="1:9" s="15" customFormat="1" ht="15">
      <c r="A13" s="103" t="s">
        <v>155</v>
      </c>
      <c r="B13" s="22">
        <v>24.25</v>
      </c>
      <c r="C13" s="22">
        <f t="shared" si="0"/>
        <v>2.4250000000000003</v>
      </c>
      <c r="D13" s="22">
        <v>1575</v>
      </c>
      <c r="E13" s="84">
        <f>D13/$D$18*$E$18</f>
        <v>8.43532482598608</v>
      </c>
      <c r="F13" s="84">
        <f t="shared" si="2"/>
        <v>35.110324825986076</v>
      </c>
      <c r="G13" s="145">
        <f t="shared" si="4"/>
        <v>2500.9084373549886</v>
      </c>
      <c r="H13" s="119">
        <f>2360+114</f>
        <v>2474</v>
      </c>
      <c r="I13" s="146">
        <f t="shared" si="3"/>
        <v>-26.908437354988564</v>
      </c>
    </row>
    <row r="14" spans="1:9" s="15" customFormat="1" ht="15">
      <c r="A14" s="103" t="s">
        <v>384</v>
      </c>
      <c r="B14" s="22">
        <v>40.63</v>
      </c>
      <c r="C14" s="22">
        <f t="shared" si="0"/>
        <v>4.063000000000001</v>
      </c>
      <c r="D14" s="22">
        <v>1210</v>
      </c>
      <c r="E14" s="84">
        <f t="shared" si="1"/>
        <v>6.4804717710750195</v>
      </c>
      <c r="F14" s="84">
        <f t="shared" si="2"/>
        <v>51.17347177107502</v>
      </c>
      <c r="G14" s="145">
        <f t="shared" si="4"/>
        <v>3645.086394253674</v>
      </c>
      <c r="H14" s="119">
        <v>3600</v>
      </c>
      <c r="I14" s="146">
        <f t="shared" si="3"/>
        <v>-45.086394253673916</v>
      </c>
    </row>
    <row r="15" spans="1:9" s="15" customFormat="1" ht="15">
      <c r="A15" s="103" t="s">
        <v>976</v>
      </c>
      <c r="B15" s="22">
        <v>28.87</v>
      </c>
      <c r="C15" s="22">
        <f>B15*0.1</f>
        <v>2.8870000000000005</v>
      </c>
      <c r="D15" s="22">
        <v>1360</v>
      </c>
      <c r="E15" s="84">
        <f>D15/$D$18*$E$18</f>
        <v>7.283836040216551</v>
      </c>
      <c r="F15" s="84">
        <f>B15+E15+C15</f>
        <v>39.040836040216554</v>
      </c>
      <c r="G15" s="145">
        <f>F15*$G$1</f>
        <v>2780.8787511446253</v>
      </c>
      <c r="H15" s="119">
        <f>1000+1776</f>
        <v>2776</v>
      </c>
      <c r="I15" s="146">
        <f>H15-G15</f>
        <v>-4.878751144625312</v>
      </c>
    </row>
    <row r="16" spans="1:9" s="15" customFormat="1" ht="15">
      <c r="A16" s="103" t="s">
        <v>815</v>
      </c>
      <c r="B16" s="22">
        <v>16.89</v>
      </c>
      <c r="C16" s="22">
        <f>B16*0.1</f>
        <v>1.689</v>
      </c>
      <c r="D16" s="22">
        <v>100</v>
      </c>
      <c r="E16" s="84">
        <f>D16/$D$18*$E$18</f>
        <v>0.5355761794276875</v>
      </c>
      <c r="F16" s="84">
        <f>B16+E16+C16</f>
        <v>19.114576179427686</v>
      </c>
      <c r="G16" s="145">
        <f>F16*$G$1</f>
        <v>1361.5312612606342</v>
      </c>
      <c r="H16" s="119">
        <v>1364</v>
      </c>
      <c r="I16" s="146">
        <f>H16-G16</f>
        <v>2.46873873936579</v>
      </c>
    </row>
    <row r="17" spans="1:10" s="8" customFormat="1" ht="15">
      <c r="A17" s="103" t="s">
        <v>224</v>
      </c>
      <c r="B17" s="85"/>
      <c r="C17" s="85"/>
      <c r="D17" s="22">
        <v>7250</v>
      </c>
      <c r="E17" s="84">
        <f>D17/$D$18*$E$18</f>
        <v>38.82927300850735</v>
      </c>
      <c r="F17" s="85"/>
      <c r="G17" s="28"/>
      <c r="H17" s="156"/>
      <c r="I17" s="28"/>
      <c r="J17" s="32"/>
    </row>
    <row r="18" spans="1:9" s="8" customFormat="1" ht="15">
      <c r="A18" s="25"/>
      <c r="B18" s="86"/>
      <c r="C18" s="86"/>
      <c r="D18" s="86">
        <f>SUM(D4:D17)</f>
        <v>12930</v>
      </c>
      <c r="E18" s="1">
        <v>69.25</v>
      </c>
      <c r="F18" s="113"/>
      <c r="G18" s="28"/>
      <c r="H18" s="28"/>
      <c r="I18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205</v>
      </c>
      <c r="B1" s="10">
        <v>42681</v>
      </c>
      <c r="C1" s="10"/>
      <c r="D1" s="10"/>
      <c r="E1" s="10"/>
      <c r="F1" s="11" t="s">
        <v>206</v>
      </c>
      <c r="G1" s="106">
        <v>72.483</v>
      </c>
      <c r="H1" s="8" t="s">
        <v>207</v>
      </c>
      <c r="J1" s="154"/>
    </row>
    <row r="2" s="8" customFormat="1" ht="15">
      <c r="A2" s="33" t="s">
        <v>981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384</v>
      </c>
      <c r="B4" s="22">
        <v>3.68</v>
      </c>
      <c r="C4" s="22">
        <f aca="true" t="shared" si="0" ref="C4:C14">B4*0.1</f>
        <v>0.36800000000000005</v>
      </c>
      <c r="D4" s="22">
        <v>50</v>
      </c>
      <c r="E4" s="84">
        <f aca="true" t="shared" si="1" ref="E4:E14">D4/$D$20*$E$20</f>
        <v>0.25868509525588346</v>
      </c>
      <c r="F4" s="84">
        <f aca="true" t="shared" si="2" ref="F4:F14">B4+E4+C4</f>
        <v>4.306685095255884</v>
      </c>
      <c r="G4" s="145">
        <f>F4*$G$1</f>
        <v>312.1614557594323</v>
      </c>
      <c r="H4" s="160">
        <f>190+152</f>
        <v>342</v>
      </c>
      <c r="I4" s="146">
        <f aca="true" t="shared" si="3" ref="I4:I14">H4-G4</f>
        <v>29.838544240567728</v>
      </c>
    </row>
    <row r="5" spans="1:9" s="15" customFormat="1" ht="15">
      <c r="A5" s="103" t="s">
        <v>976</v>
      </c>
      <c r="B5" s="22">
        <v>3.68</v>
      </c>
      <c r="C5" s="22">
        <f t="shared" si="0"/>
        <v>0.36800000000000005</v>
      </c>
      <c r="D5" s="22">
        <v>50</v>
      </c>
      <c r="E5" s="84">
        <f t="shared" si="1"/>
        <v>0.25868509525588346</v>
      </c>
      <c r="F5" s="84">
        <f t="shared" si="2"/>
        <v>4.306685095255884</v>
      </c>
      <c r="G5" s="145">
        <f aca="true" t="shared" si="4" ref="G5:G14">F5*$G$1</f>
        <v>312.1614557594323</v>
      </c>
      <c r="H5" s="160">
        <v>311</v>
      </c>
      <c r="I5" s="146">
        <f t="shared" si="3"/>
        <v>-1.1614557594322719</v>
      </c>
    </row>
    <row r="6" spans="1:9" s="8" customFormat="1" ht="15">
      <c r="A6" s="104" t="s">
        <v>989</v>
      </c>
      <c r="B6" s="22">
        <v>3.68</v>
      </c>
      <c r="C6" s="22">
        <f t="shared" si="0"/>
        <v>0.36800000000000005</v>
      </c>
      <c r="D6" s="22">
        <v>50</v>
      </c>
      <c r="E6" s="84">
        <f t="shared" si="1"/>
        <v>0.25868509525588346</v>
      </c>
      <c r="F6" s="84">
        <f t="shared" si="2"/>
        <v>4.306685095255884</v>
      </c>
      <c r="G6" s="145">
        <f t="shared" si="4"/>
        <v>312.1614557594323</v>
      </c>
      <c r="H6" s="160">
        <v>312</v>
      </c>
      <c r="I6" s="146">
        <f t="shared" si="3"/>
        <v>-0.16145575943227186</v>
      </c>
    </row>
    <row r="7" spans="1:9" s="15" customFormat="1" ht="15">
      <c r="A7" s="103" t="s">
        <v>990</v>
      </c>
      <c r="B7" s="22">
        <v>14.93</v>
      </c>
      <c r="C7" s="22">
        <f t="shared" si="0"/>
        <v>1.493</v>
      </c>
      <c r="D7" s="22">
        <v>560</v>
      </c>
      <c r="E7" s="84">
        <f t="shared" si="1"/>
        <v>2.897273066865895</v>
      </c>
      <c r="F7" s="84">
        <f t="shared" si="2"/>
        <v>19.320273066865894</v>
      </c>
      <c r="G7" s="145">
        <f t="shared" si="4"/>
        <v>1400.3913527056407</v>
      </c>
      <c r="H7" s="160">
        <v>1404</v>
      </c>
      <c r="I7" s="146">
        <f t="shared" si="3"/>
        <v>3.6086472943593435</v>
      </c>
    </row>
    <row r="8" spans="1:9" s="15" customFormat="1" ht="15">
      <c r="A8" s="103" t="s">
        <v>982</v>
      </c>
      <c r="B8" s="22">
        <v>7.42</v>
      </c>
      <c r="C8" s="22">
        <f t="shared" si="0"/>
        <v>0.742</v>
      </c>
      <c r="D8" s="22">
        <v>30</v>
      </c>
      <c r="E8" s="84">
        <f t="shared" si="1"/>
        <v>0.1552110571535301</v>
      </c>
      <c r="F8" s="84">
        <f t="shared" si="2"/>
        <v>8.31721105715353</v>
      </c>
      <c r="G8" s="145">
        <f t="shared" si="4"/>
        <v>602.8564090556594</v>
      </c>
      <c r="H8" s="160">
        <v>600</v>
      </c>
      <c r="I8" s="146">
        <f t="shared" si="3"/>
        <v>-2.8564090556593555</v>
      </c>
    </row>
    <row r="9" spans="1:9" s="15" customFormat="1" ht="15">
      <c r="A9" s="103" t="s">
        <v>354</v>
      </c>
      <c r="B9" s="22">
        <v>6.25</v>
      </c>
      <c r="C9" s="22">
        <f t="shared" si="0"/>
        <v>0.625</v>
      </c>
      <c r="D9" s="22">
        <v>130</v>
      </c>
      <c r="E9" s="84">
        <f t="shared" si="1"/>
        <v>0.6725812476652969</v>
      </c>
      <c r="F9" s="84">
        <f t="shared" si="2"/>
        <v>7.547581247665297</v>
      </c>
      <c r="G9" s="145">
        <f t="shared" si="4"/>
        <v>547.0713315745238</v>
      </c>
      <c r="H9" s="160">
        <v>547</v>
      </c>
      <c r="I9" s="146">
        <f t="shared" si="3"/>
        <v>-0.07133157452381056</v>
      </c>
    </row>
    <row r="10" spans="1:9" s="15" customFormat="1" ht="15">
      <c r="A10" s="103" t="s">
        <v>652</v>
      </c>
      <c r="B10" s="22">
        <v>4.08</v>
      </c>
      <c r="C10" s="22">
        <f t="shared" si="0"/>
        <v>0.40800000000000003</v>
      </c>
      <c r="D10" s="22">
        <v>250</v>
      </c>
      <c r="E10" s="84">
        <f t="shared" si="1"/>
        <v>1.293425476279417</v>
      </c>
      <c r="F10" s="84">
        <f t="shared" si="2"/>
        <v>5.781425476279417</v>
      </c>
      <c r="G10" s="145">
        <f t="shared" si="4"/>
        <v>419.05506279716104</v>
      </c>
      <c r="H10" s="160">
        <v>417</v>
      </c>
      <c r="I10" s="146">
        <f t="shared" si="3"/>
        <v>-2.0550627971610425</v>
      </c>
    </row>
    <row r="11" spans="1:9" s="8" customFormat="1" ht="15">
      <c r="A11" s="104" t="s">
        <v>630</v>
      </c>
      <c r="B11" s="22">
        <v>14.93</v>
      </c>
      <c r="C11" s="22">
        <f t="shared" si="0"/>
        <v>1.493</v>
      </c>
      <c r="D11" s="22">
        <v>1100</v>
      </c>
      <c r="E11" s="84">
        <f t="shared" si="1"/>
        <v>5.691072095629436</v>
      </c>
      <c r="F11" s="84">
        <f t="shared" si="2"/>
        <v>22.114072095629435</v>
      </c>
      <c r="G11" s="145">
        <f t="shared" si="4"/>
        <v>1602.8942877075085</v>
      </c>
      <c r="H11" s="160">
        <f>1397+194</f>
        <v>1591</v>
      </c>
      <c r="I11" s="146">
        <f t="shared" si="3"/>
        <v>-11.89428770750851</v>
      </c>
    </row>
    <row r="12" spans="1:9" s="15" customFormat="1" ht="15">
      <c r="A12" s="103" t="s">
        <v>155</v>
      </c>
      <c r="B12" s="22">
        <v>14.08</v>
      </c>
      <c r="C12" s="22">
        <f t="shared" si="0"/>
        <v>1.4080000000000001</v>
      </c>
      <c r="D12" s="22">
        <v>900</v>
      </c>
      <c r="E12" s="84">
        <f t="shared" si="1"/>
        <v>4.656331714605902</v>
      </c>
      <c r="F12" s="84">
        <f t="shared" si="2"/>
        <v>20.144331714605904</v>
      </c>
      <c r="G12" s="145">
        <f t="shared" si="4"/>
        <v>1460.12159566978</v>
      </c>
      <c r="H12" s="160">
        <v>1470</v>
      </c>
      <c r="I12" s="146">
        <f t="shared" si="3"/>
        <v>9.878404330220064</v>
      </c>
    </row>
    <row r="13" spans="1:9" s="15" customFormat="1" ht="15">
      <c r="A13" s="103" t="s">
        <v>576</v>
      </c>
      <c r="B13" s="22">
        <v>5.42</v>
      </c>
      <c r="C13" s="22">
        <f t="shared" si="0"/>
        <v>0.542</v>
      </c>
      <c r="D13" s="22">
        <v>250</v>
      </c>
      <c r="E13" s="84">
        <f>D13/$D$20*$E$20</f>
        <v>1.293425476279417</v>
      </c>
      <c r="F13" s="84">
        <f t="shared" si="2"/>
        <v>7.255425476279417</v>
      </c>
      <c r="G13" s="145">
        <f t="shared" si="4"/>
        <v>525.8950047971609</v>
      </c>
      <c r="H13" s="160">
        <f>521+5</f>
        <v>526</v>
      </c>
      <c r="I13" s="146">
        <f t="shared" si="3"/>
        <v>0.1049952028390635</v>
      </c>
    </row>
    <row r="14" spans="1:9" s="15" customFormat="1" ht="15">
      <c r="A14" s="103" t="s">
        <v>991</v>
      </c>
      <c r="B14" s="22">
        <v>13.25</v>
      </c>
      <c r="C14" s="22">
        <f t="shared" si="0"/>
        <v>1.3250000000000002</v>
      </c>
      <c r="D14" s="22">
        <v>540</v>
      </c>
      <c r="E14" s="84">
        <f t="shared" si="1"/>
        <v>2.7937990287635412</v>
      </c>
      <c r="F14" s="84">
        <f t="shared" si="2"/>
        <v>17.36879902876354</v>
      </c>
      <c r="G14" s="145">
        <f t="shared" si="4"/>
        <v>1258.9426600018678</v>
      </c>
      <c r="H14" s="119">
        <f>1250+9</f>
        <v>1259</v>
      </c>
      <c r="I14" s="146">
        <f t="shared" si="3"/>
        <v>0.057339998132192704</v>
      </c>
    </row>
    <row r="15" spans="1:9" s="15" customFormat="1" ht="15">
      <c r="A15" s="103" t="s">
        <v>127</v>
      </c>
      <c r="B15" s="22">
        <v>13.93</v>
      </c>
      <c r="C15" s="22">
        <f>B15*0.1</f>
        <v>1.393</v>
      </c>
      <c r="D15" s="22">
        <v>520</v>
      </c>
      <c r="E15" s="84">
        <f>D15/$D$20*$E$20</f>
        <v>2.6903249906611877</v>
      </c>
      <c r="F15" s="84">
        <f>B15+E15+C15</f>
        <v>18.01332499066119</v>
      </c>
      <c r="G15" s="145">
        <f>F15*$G$1</f>
        <v>1305.659835298095</v>
      </c>
      <c r="H15" s="160">
        <v>1286</v>
      </c>
      <c r="I15" s="146">
        <f>H15-G15</f>
        <v>-19.659835298095004</v>
      </c>
    </row>
    <row r="16" spans="1:9" s="15" customFormat="1" ht="15">
      <c r="A16" s="103" t="s">
        <v>723</v>
      </c>
      <c r="B16" s="22">
        <v>106.55</v>
      </c>
      <c r="C16" s="22">
        <f>B16*0.1</f>
        <v>10.655000000000001</v>
      </c>
      <c r="D16" s="22">
        <v>3000</v>
      </c>
      <c r="E16" s="84">
        <f>D16/$D$20*$E$20</f>
        <v>15.521105715353007</v>
      </c>
      <c r="F16" s="84">
        <f>B16+E16+C16</f>
        <v>132.72610571535301</v>
      </c>
      <c r="G16" s="145">
        <f>F16*$G$1</f>
        <v>9620.386320565933</v>
      </c>
      <c r="H16" s="160">
        <f>9591+54</f>
        <v>9645</v>
      </c>
      <c r="I16" s="146">
        <f>H16-G16</f>
        <v>24.613679434067308</v>
      </c>
    </row>
    <row r="17" spans="1:9" s="15" customFormat="1" ht="15">
      <c r="A17" s="103" t="s">
        <v>102</v>
      </c>
      <c r="B17" s="22">
        <v>11.65</v>
      </c>
      <c r="C17" s="22">
        <f>B17*0.1</f>
        <v>1.165</v>
      </c>
      <c r="D17" s="22">
        <v>815</v>
      </c>
      <c r="E17" s="84">
        <f>D17/$D$20*$E$20</f>
        <v>4.216567052670901</v>
      </c>
      <c r="F17" s="84">
        <f>B17+E17+C17</f>
        <v>17.0315670526709</v>
      </c>
      <c r="G17" s="145">
        <f>F17*$G$1</f>
        <v>1234.499074678745</v>
      </c>
      <c r="H17" s="161">
        <v>1231</v>
      </c>
      <c r="I17" s="146">
        <f>H17-G17</f>
        <v>-3.499074678745046</v>
      </c>
    </row>
    <row r="18" spans="1:9" s="15" customFormat="1" ht="15">
      <c r="A18" s="103" t="s">
        <v>992</v>
      </c>
      <c r="B18" s="22">
        <v>33.8</v>
      </c>
      <c r="C18" s="22">
        <f>B18*0.1</f>
        <v>3.38</v>
      </c>
      <c r="D18" s="22">
        <v>990</v>
      </c>
      <c r="E18" s="84">
        <f>D18/$D$20*$E$20</f>
        <v>5.121964886066492</v>
      </c>
      <c r="F18" s="84">
        <f>B18+E18+C18</f>
        <v>42.30196488606649</v>
      </c>
      <c r="G18" s="145">
        <f>F18*$G$1</f>
        <v>3066.1733208367577</v>
      </c>
      <c r="H18" s="160">
        <f>3062+4</f>
        <v>3066</v>
      </c>
      <c r="I18" s="146">
        <f>H18-G18</f>
        <v>-0.17332083675773902</v>
      </c>
    </row>
    <row r="19" spans="1:10" s="8" customFormat="1" ht="15">
      <c r="A19" s="103"/>
      <c r="B19" s="85"/>
      <c r="C19" s="85"/>
      <c r="D19" s="22">
        <v>4150</v>
      </c>
      <c r="E19" s="84">
        <f>D19/$D$20*$E$20</f>
        <v>21.470862906238324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13385</v>
      </c>
      <c r="E20" s="1">
        <v>69.25</v>
      </c>
      <c r="F20" s="113"/>
      <c r="G20" s="28"/>
      <c r="H20" s="28"/>
      <c r="I20" s="28"/>
    </row>
    <row r="22" ht="28.5">
      <c r="A22" s="107"/>
    </row>
    <row r="23" ht="28.5">
      <c r="A23" s="107"/>
    </row>
    <row r="24" ht="42.75" customHeight="1">
      <c r="A24" s="159" t="s">
        <v>562</v>
      </c>
    </row>
    <row r="25" spans="1:2" ht="31.5">
      <c r="A25" s="117" t="s">
        <v>982</v>
      </c>
      <c r="B25" s="141" t="s">
        <v>983</v>
      </c>
    </row>
    <row r="26" spans="1:2" ht="31.5">
      <c r="A26" s="117" t="s">
        <v>354</v>
      </c>
      <c r="B26" s="141" t="s">
        <v>984</v>
      </c>
    </row>
    <row r="27" spans="1:2" ht="31.5">
      <c r="A27" s="117" t="s">
        <v>985</v>
      </c>
      <c r="B27" s="141" t="s">
        <v>456</v>
      </c>
    </row>
    <row r="28" spans="1:2" ht="31.5">
      <c r="A28" s="117" t="s">
        <v>986</v>
      </c>
      <c r="B28" s="141" t="s">
        <v>987</v>
      </c>
    </row>
  </sheetData>
  <sheetProtection/>
  <hyperlinks>
    <hyperlink ref="B25" r:id="rId1" display="http://www.cocooncenter.co.uk/la-roche-posay-toleriane-soothing-protective-skincare-40ml/317.html#avis"/>
    <hyperlink ref="B26" r:id="rId2" display="https://www.cocooncenter.com/humer-hygiene-du-nez-adulte-lot-de-2-x-150-ml/24859.html"/>
    <hyperlink ref="B27" r:id="rId3" display="http://www.cocooncenter.com/embryolisse-lait-creme-concentre-75-ml/19133.html"/>
    <hyperlink ref="B28" r:id="rId4" display="http://www.cocooncenter.com/avene-lotion-nettoyante-peaux-intolerantes-300-ml/14738.html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205</v>
      </c>
      <c r="B1" s="10">
        <v>41334</v>
      </c>
      <c r="C1" s="10"/>
      <c r="D1" s="11" t="s">
        <v>206</v>
      </c>
      <c r="E1" s="12">
        <f>40.83</f>
        <v>40.83</v>
      </c>
      <c r="G1" s="8" t="s">
        <v>207</v>
      </c>
    </row>
    <row r="2" s="8" customFormat="1" ht="23.25" customHeight="1">
      <c r="A2" s="33"/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61</v>
      </c>
      <c r="B4" s="16">
        <v>54.7</v>
      </c>
      <c r="C4" s="16">
        <f>B4*0.95</f>
        <v>51.965</v>
      </c>
      <c r="D4" s="16">
        <f aca="true" t="shared" si="0" ref="D4:D18">B4/$B$19*$D$19</f>
        <v>3.359183090545559</v>
      </c>
      <c r="E4" s="17">
        <f aca="true" t="shared" si="1" ref="E4:E12">(C4+D4)*$E$1</f>
        <v>2258.886395586975</v>
      </c>
      <c r="F4" s="18"/>
      <c r="G4" s="19">
        <f aca="true" t="shared" si="2" ref="G4:G12">E4-F4</f>
        <v>2258.886395586975</v>
      </c>
      <c r="H4" s="22">
        <v>2328</v>
      </c>
      <c r="I4" s="21">
        <f aca="true" t="shared" si="3" ref="I4:I12">H4-G4+F4</f>
        <v>69.11360441302486</v>
      </c>
    </row>
    <row r="5" spans="1:9" s="8" customFormat="1" ht="15">
      <c r="A5" s="4" t="s">
        <v>49</v>
      </c>
      <c r="B5" s="16">
        <v>13.4</v>
      </c>
      <c r="C5" s="16">
        <f>B5*0.95</f>
        <v>12.73</v>
      </c>
      <c r="D5" s="16">
        <f t="shared" si="0"/>
        <v>0.8229077406455299</v>
      </c>
      <c r="E5" s="17">
        <f>(C5+D5)*$E$1</f>
        <v>553.365223050557</v>
      </c>
      <c r="F5" s="18"/>
      <c r="G5" s="19">
        <f>E5-F5</f>
        <v>553.365223050557</v>
      </c>
      <c r="H5" s="22">
        <v>554</v>
      </c>
      <c r="I5" s="21">
        <f>H5-G5+F5</f>
        <v>0.634776949442994</v>
      </c>
    </row>
    <row r="6" spans="1:9" s="8" customFormat="1" ht="15">
      <c r="A6" s="4" t="s">
        <v>60</v>
      </c>
      <c r="B6" s="16">
        <f>12.9/2</f>
        <v>6.45</v>
      </c>
      <c r="C6" s="16">
        <f aca="true" t="shared" si="4" ref="C6:C14">B6*0.95</f>
        <v>6.1274999999999995</v>
      </c>
      <c r="D6" s="16">
        <f t="shared" si="0"/>
        <v>0.39610111396743786</v>
      </c>
      <c r="E6" s="17">
        <f t="shared" si="1"/>
        <v>266.3586334832905</v>
      </c>
      <c r="F6" s="18"/>
      <c r="G6" s="19">
        <f t="shared" si="2"/>
        <v>266.3586334832905</v>
      </c>
      <c r="H6" s="22">
        <v>267</v>
      </c>
      <c r="I6" s="21">
        <f t="shared" si="3"/>
        <v>0.6413665167095246</v>
      </c>
    </row>
    <row r="7" spans="1:9" s="8" customFormat="1" ht="15">
      <c r="A7" s="4" t="s">
        <v>5</v>
      </c>
      <c r="B7" s="16">
        <f>12.9/2</f>
        <v>6.45</v>
      </c>
      <c r="C7" s="16">
        <f>B7*0.95</f>
        <v>6.1274999999999995</v>
      </c>
      <c r="D7" s="16">
        <f t="shared" si="0"/>
        <v>0.39610111396743786</v>
      </c>
      <c r="E7" s="17">
        <f>(C7+D7)*$E$1</f>
        <v>266.3586334832905</v>
      </c>
      <c r="F7" s="18"/>
      <c r="G7" s="19">
        <f>E7-F7</f>
        <v>266.3586334832905</v>
      </c>
      <c r="H7" s="22">
        <v>267</v>
      </c>
      <c r="I7" s="21">
        <f>H7-G7+F7</f>
        <v>0.6413665167095246</v>
      </c>
    </row>
    <row r="8" spans="1:9" s="8" customFormat="1" ht="15">
      <c r="A8" s="4" t="s">
        <v>203</v>
      </c>
      <c r="B8" s="16">
        <v>25.7</v>
      </c>
      <c r="C8" s="16">
        <f t="shared" si="4"/>
        <v>24.415</v>
      </c>
      <c r="D8" s="16">
        <f t="shared" si="0"/>
        <v>1.5782633533276205</v>
      </c>
      <c r="E8" s="17">
        <f t="shared" si="1"/>
        <v>1061.3049427163667</v>
      </c>
      <c r="F8" s="18"/>
      <c r="G8" s="19">
        <f t="shared" si="2"/>
        <v>1061.3049427163667</v>
      </c>
      <c r="H8" s="22">
        <v>1065</v>
      </c>
      <c r="I8" s="21">
        <f>H8-G8+F8</f>
        <v>3.695057283633332</v>
      </c>
    </row>
    <row r="9" spans="1:9" s="8" customFormat="1" ht="15">
      <c r="A9" s="4" t="s">
        <v>111</v>
      </c>
      <c r="B9" s="16">
        <v>6.9</v>
      </c>
      <c r="C9" s="16">
        <f t="shared" si="4"/>
        <v>6.555</v>
      </c>
      <c r="D9" s="16">
        <f t="shared" si="0"/>
        <v>0.4237360754070265</v>
      </c>
      <c r="E9" s="17">
        <f t="shared" si="1"/>
        <v>284.94179395886886</v>
      </c>
      <c r="F9" s="18"/>
      <c r="G9" s="19">
        <f t="shared" si="2"/>
        <v>284.94179395886886</v>
      </c>
      <c r="H9" s="22">
        <v>285</v>
      </c>
      <c r="I9" s="21">
        <f t="shared" si="3"/>
        <v>0.05820604113114314</v>
      </c>
    </row>
    <row r="10" spans="1:9" s="8" customFormat="1" ht="15">
      <c r="A10" s="4" t="s">
        <v>240</v>
      </c>
      <c r="B10" s="16">
        <v>5.5</v>
      </c>
      <c r="C10" s="16">
        <f t="shared" si="4"/>
        <v>5.225</v>
      </c>
      <c r="D10" s="16">
        <f t="shared" si="0"/>
        <v>0.33776063981719506</v>
      </c>
      <c r="E10" s="17">
        <f t="shared" si="1"/>
        <v>227.12751692373604</v>
      </c>
      <c r="F10" s="18"/>
      <c r="G10" s="19">
        <f t="shared" si="2"/>
        <v>227.12751692373604</v>
      </c>
      <c r="H10" s="22">
        <v>228</v>
      </c>
      <c r="I10" s="21">
        <f t="shared" si="3"/>
        <v>0.8724830762639613</v>
      </c>
    </row>
    <row r="11" spans="1:9" s="8" customFormat="1" ht="15">
      <c r="A11" s="4" t="s">
        <v>50</v>
      </c>
      <c r="B11" s="16">
        <v>31.1</v>
      </c>
      <c r="C11" s="16">
        <f t="shared" si="4"/>
        <v>29.545</v>
      </c>
      <c r="D11" s="16">
        <f t="shared" si="0"/>
        <v>1.909882890602685</v>
      </c>
      <c r="E11" s="17">
        <f t="shared" si="1"/>
        <v>1284.3028684233077</v>
      </c>
      <c r="F11" s="18"/>
      <c r="G11" s="19">
        <f t="shared" si="2"/>
        <v>1284.3028684233077</v>
      </c>
      <c r="H11" s="22">
        <v>1287</v>
      </c>
      <c r="I11" s="21">
        <f t="shared" si="3"/>
        <v>2.6971315766923</v>
      </c>
    </row>
    <row r="12" spans="1:9" s="8" customFormat="1" ht="15">
      <c r="A12" s="3" t="s">
        <v>174</v>
      </c>
      <c r="B12" s="8">
        <v>29.9</v>
      </c>
      <c r="C12" s="16">
        <f t="shared" si="4"/>
        <v>28.404999999999998</v>
      </c>
      <c r="D12" s="16">
        <f t="shared" si="0"/>
        <v>1.8361896600971148</v>
      </c>
      <c r="E12" s="17">
        <f t="shared" si="1"/>
        <v>1234.7477738217651</v>
      </c>
      <c r="F12" s="18"/>
      <c r="G12" s="19">
        <f t="shared" si="2"/>
        <v>1234.7477738217651</v>
      </c>
      <c r="H12" s="22">
        <v>1240</v>
      </c>
      <c r="I12" s="21">
        <f t="shared" si="3"/>
        <v>5.252226178234878</v>
      </c>
    </row>
    <row r="13" spans="1:9" s="8" customFormat="1" ht="15">
      <c r="A13" s="4" t="s">
        <v>241</v>
      </c>
      <c r="B13" s="16">
        <v>27.1</v>
      </c>
      <c r="C13" s="16">
        <f t="shared" si="4"/>
        <v>25.745</v>
      </c>
      <c r="D13" s="16">
        <f t="shared" si="0"/>
        <v>1.6642387889174524</v>
      </c>
      <c r="E13" s="17">
        <f>(C13+D13)*$E$1</f>
        <v>1119.1192197514995</v>
      </c>
      <c r="F13" s="18"/>
      <c r="G13" s="19">
        <f>E13-F13</f>
        <v>1119.1192197514995</v>
      </c>
      <c r="H13" s="22">
        <v>1121</v>
      </c>
      <c r="I13" s="21">
        <f>H13-G13+F13</f>
        <v>1.880780248500514</v>
      </c>
    </row>
    <row r="14" spans="1:9" s="8" customFormat="1" ht="15">
      <c r="A14" s="46" t="s">
        <v>20</v>
      </c>
      <c r="B14" s="16">
        <v>23</v>
      </c>
      <c r="C14" s="16">
        <f t="shared" si="4"/>
        <v>21.849999999999998</v>
      </c>
      <c r="D14" s="16">
        <f t="shared" si="0"/>
        <v>1.4124535846900885</v>
      </c>
      <c r="E14" s="17">
        <f>(C14+D14)*$E$1</f>
        <v>949.8059798628962</v>
      </c>
      <c r="F14" s="18"/>
      <c r="G14" s="19">
        <f>E14-F14</f>
        <v>949.8059798628962</v>
      </c>
      <c r="H14" s="22">
        <v>952</v>
      </c>
      <c r="I14" s="21">
        <f>H14-G14+F14</f>
        <v>2.1940201371038484</v>
      </c>
    </row>
    <row r="15" spans="1:9" s="8" customFormat="1" ht="15">
      <c r="A15" s="46" t="s">
        <v>15</v>
      </c>
      <c r="B15" s="16">
        <v>34.3</v>
      </c>
      <c r="C15" s="16">
        <f>B15*0.95</f>
        <v>32.584999999999994</v>
      </c>
      <c r="D15" s="16">
        <f t="shared" si="0"/>
        <v>2.106398171950871</v>
      </c>
      <c r="E15" s="17">
        <f>(C15+D15)*$E$1</f>
        <v>1416.4497873607538</v>
      </c>
      <c r="F15" s="18"/>
      <c r="G15" s="19">
        <f>E15-F15</f>
        <v>1416.4497873607538</v>
      </c>
      <c r="H15" s="22">
        <v>1419</v>
      </c>
      <c r="I15" s="21">
        <f>H15-G15+F15</f>
        <v>2.5502126392461832</v>
      </c>
    </row>
    <row r="16" spans="1:9" s="8" customFormat="1" ht="15">
      <c r="A16" s="46" t="s">
        <v>152</v>
      </c>
      <c r="B16" s="16">
        <v>51.5</v>
      </c>
      <c r="C16" s="16">
        <f>B16*0.95</f>
        <v>48.925</v>
      </c>
      <c r="D16" s="16">
        <f t="shared" si="0"/>
        <v>3.162667809197372</v>
      </c>
      <c r="E16" s="17">
        <f>(C16+D16)*$E$1</f>
        <v>2126.7394766495286</v>
      </c>
      <c r="F16" s="18"/>
      <c r="G16" s="19">
        <f>E16-F16</f>
        <v>2126.7394766495286</v>
      </c>
      <c r="H16" s="22">
        <v>2131</v>
      </c>
      <c r="I16" s="21">
        <f>H16-G16+F16</f>
        <v>4.260523350471431</v>
      </c>
    </row>
    <row r="17" spans="1:9" s="8" customFormat="1" ht="15">
      <c r="A17" s="46" t="s">
        <v>166</v>
      </c>
      <c r="B17" s="16">
        <v>9.7</v>
      </c>
      <c r="C17" s="16">
        <f>B17*0.95</f>
        <v>9.214999999999998</v>
      </c>
      <c r="D17" s="16">
        <f t="shared" si="0"/>
        <v>0.5956869465866894</v>
      </c>
      <c r="E17" s="17">
        <f>(C17+D17)*$E$1</f>
        <v>400.5703480291344</v>
      </c>
      <c r="F17" s="18"/>
      <c r="G17" s="19">
        <f>E17-F17</f>
        <v>400.5703480291344</v>
      </c>
      <c r="H17" s="22">
        <v>401</v>
      </c>
      <c r="I17" s="21">
        <f>H17-G17+F17</f>
        <v>0.42965197086562057</v>
      </c>
    </row>
    <row r="18" spans="1:9" s="8" customFormat="1" ht="15">
      <c r="A18" s="5" t="s">
        <v>242</v>
      </c>
      <c r="B18" s="16">
        <v>24.4</v>
      </c>
      <c r="C18" s="16">
        <f>B18*0.95</f>
        <v>23.179999999999996</v>
      </c>
      <c r="D18" s="16">
        <f t="shared" si="0"/>
        <v>1.49842902027992</v>
      </c>
      <c r="E18" s="27"/>
      <c r="F18" s="28"/>
      <c r="G18" s="28"/>
      <c r="H18" s="28"/>
      <c r="I18" s="28"/>
    </row>
    <row r="19" spans="1:9" s="8" customFormat="1" ht="15">
      <c r="A19" s="25"/>
      <c r="B19" s="26">
        <v>350.1</v>
      </c>
      <c r="C19" s="26">
        <f>SUM(C4:C18)</f>
        <v>332.59499999999997</v>
      </c>
      <c r="D19" s="26">
        <v>21.5</v>
      </c>
      <c r="E19" s="27"/>
      <c r="F19" s="28"/>
      <c r="G19" s="28"/>
      <c r="H19" s="28"/>
      <c r="I19" s="28"/>
    </row>
    <row r="24" ht="23.25">
      <c r="A24" s="30"/>
    </row>
    <row r="25" ht="15">
      <c r="A2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90" zoomScaleNormal="90" zoomScalePageLayoutView="0" workbookViewId="0" topLeftCell="A1">
      <selection activeCell="H10" sqref="H10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205</v>
      </c>
      <c r="B1" s="10">
        <v>42688</v>
      </c>
      <c r="C1" s="10"/>
      <c r="D1" s="10"/>
      <c r="E1" s="10"/>
      <c r="F1" s="11" t="s">
        <v>206</v>
      </c>
      <c r="G1" s="106">
        <v>71.572</v>
      </c>
      <c r="H1" s="8" t="s">
        <v>207</v>
      </c>
      <c r="J1" s="154"/>
    </row>
    <row r="2" s="8" customFormat="1" ht="15">
      <c r="A2" s="33" t="s">
        <v>996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997</v>
      </c>
      <c r="B4" s="22">
        <v>10.75</v>
      </c>
      <c r="C4" s="22">
        <f aca="true" t="shared" si="0" ref="C4:C13">B4*0.1</f>
        <v>1.075</v>
      </c>
      <c r="D4" s="22">
        <v>1115</v>
      </c>
      <c r="E4" s="84">
        <f aca="true" t="shared" si="1" ref="E4:E14">D4/$D$15*$E$15</f>
        <v>5.93220823798627</v>
      </c>
      <c r="F4" s="84">
        <f aca="true" t="shared" si="2" ref="F4:F13">B4+E4+C4</f>
        <v>17.75720823798627</v>
      </c>
      <c r="G4" s="145">
        <f>F4*$G$1</f>
        <v>1270.9189080091533</v>
      </c>
      <c r="H4" s="160">
        <v>1301</v>
      </c>
      <c r="I4" s="146">
        <f aca="true" t="shared" si="3" ref="I4:I13">H4-G4</f>
        <v>30.081091990846744</v>
      </c>
    </row>
    <row r="5" spans="1:9" s="15" customFormat="1" ht="15">
      <c r="A5" s="103" t="s">
        <v>939</v>
      </c>
      <c r="B5" s="22">
        <v>21.33</v>
      </c>
      <c r="C5" s="22">
        <f t="shared" si="0"/>
        <v>2.133</v>
      </c>
      <c r="D5" s="22">
        <v>200</v>
      </c>
      <c r="E5" s="84">
        <f t="shared" si="1"/>
        <v>1.0640732265446224</v>
      </c>
      <c r="F5" s="84">
        <f t="shared" si="2"/>
        <v>24.52707322654462</v>
      </c>
      <c r="G5" s="145">
        <f aca="true" t="shared" si="4" ref="G5:G13">F5*$G$1</f>
        <v>1755.4516849702516</v>
      </c>
      <c r="H5" s="160">
        <v>1780</v>
      </c>
      <c r="I5" s="146">
        <f t="shared" si="3"/>
        <v>24.548315029748437</v>
      </c>
    </row>
    <row r="6" spans="1:9" s="8" customFormat="1" ht="15">
      <c r="A6" s="104" t="s">
        <v>127</v>
      </c>
      <c r="B6" s="22">
        <v>21.06</v>
      </c>
      <c r="C6" s="22">
        <f t="shared" si="0"/>
        <v>2.106</v>
      </c>
      <c r="D6" s="22">
        <v>185</v>
      </c>
      <c r="E6" s="84">
        <f t="shared" si="1"/>
        <v>0.9842677345537758</v>
      </c>
      <c r="F6" s="84">
        <f t="shared" si="2"/>
        <v>24.150267734553772</v>
      </c>
      <c r="G6" s="145">
        <f t="shared" si="4"/>
        <v>1728.4829622974826</v>
      </c>
      <c r="H6" s="161">
        <v>2095</v>
      </c>
      <c r="I6" s="146">
        <f t="shared" si="3"/>
        <v>366.5170377025174</v>
      </c>
    </row>
    <row r="7" spans="1:9" s="15" customFormat="1" ht="15">
      <c r="A7" s="103" t="s">
        <v>126</v>
      </c>
      <c r="B7" s="22">
        <v>6.58</v>
      </c>
      <c r="C7" s="22">
        <f t="shared" si="0"/>
        <v>0.658</v>
      </c>
      <c r="D7" s="22">
        <v>445</v>
      </c>
      <c r="E7" s="84">
        <f t="shared" si="1"/>
        <v>2.3675629290617852</v>
      </c>
      <c r="F7" s="84">
        <f t="shared" si="2"/>
        <v>9.605562929061785</v>
      </c>
      <c r="G7" s="145">
        <f t="shared" si="4"/>
        <v>687.4893499588101</v>
      </c>
      <c r="H7" s="160">
        <v>623</v>
      </c>
      <c r="I7" s="146">
        <f t="shared" si="3"/>
        <v>-64.48934995881007</v>
      </c>
    </row>
    <row r="8" spans="1:9" s="15" customFormat="1" ht="15">
      <c r="A8" s="103" t="s">
        <v>998</v>
      </c>
      <c r="B8" s="22">
        <v>13.25</v>
      </c>
      <c r="C8" s="22">
        <f t="shared" si="0"/>
        <v>1.3250000000000002</v>
      </c>
      <c r="D8" s="22">
        <v>470</v>
      </c>
      <c r="E8" s="84">
        <f t="shared" si="1"/>
        <v>2.5005720823798625</v>
      </c>
      <c r="F8" s="84">
        <f t="shared" si="2"/>
        <v>17.075572082379864</v>
      </c>
      <c r="G8" s="145">
        <f t="shared" si="4"/>
        <v>1222.1328450800918</v>
      </c>
      <c r="H8" s="160">
        <v>1238</v>
      </c>
      <c r="I8" s="146">
        <f t="shared" si="3"/>
        <v>15.867154919908216</v>
      </c>
    </row>
    <row r="9" spans="1:9" s="15" customFormat="1" ht="15">
      <c r="A9" s="103" t="s">
        <v>133</v>
      </c>
      <c r="B9" s="22">
        <v>14.08</v>
      </c>
      <c r="C9" s="22">
        <f t="shared" si="0"/>
        <v>1.4080000000000001</v>
      </c>
      <c r="D9" s="22">
        <v>115</v>
      </c>
      <c r="E9" s="84">
        <f t="shared" si="1"/>
        <v>0.6118421052631579</v>
      </c>
      <c r="F9" s="84">
        <f t="shared" si="2"/>
        <v>16.099842105263157</v>
      </c>
      <c r="G9" s="145">
        <f t="shared" si="4"/>
        <v>1152.2978991578948</v>
      </c>
      <c r="H9" s="160">
        <v>1155</v>
      </c>
      <c r="I9" s="146">
        <f t="shared" si="3"/>
        <v>2.70210084210521</v>
      </c>
    </row>
    <row r="10" spans="1:9" s="15" customFormat="1" ht="15">
      <c r="A10" s="103" t="s">
        <v>354</v>
      </c>
      <c r="B10" s="22">
        <v>6.58</v>
      </c>
      <c r="C10" s="22">
        <f t="shared" si="0"/>
        <v>0.658</v>
      </c>
      <c r="D10" s="22">
        <v>445</v>
      </c>
      <c r="E10" s="84">
        <f t="shared" si="1"/>
        <v>2.3675629290617852</v>
      </c>
      <c r="F10" s="84">
        <f t="shared" si="2"/>
        <v>9.605562929061785</v>
      </c>
      <c r="G10" s="145">
        <f t="shared" si="4"/>
        <v>687.4893499588101</v>
      </c>
      <c r="H10" s="160">
        <f>645+42</f>
        <v>687</v>
      </c>
      <c r="I10" s="146">
        <f t="shared" si="3"/>
        <v>-0.4893499588100667</v>
      </c>
    </row>
    <row r="11" spans="1:9" s="8" customFormat="1" ht="15">
      <c r="A11" s="104" t="s">
        <v>870</v>
      </c>
      <c r="B11" s="22">
        <v>33.36</v>
      </c>
      <c r="C11" s="22">
        <f t="shared" si="0"/>
        <v>3.3360000000000003</v>
      </c>
      <c r="D11" s="22">
        <v>670</v>
      </c>
      <c r="E11" s="84">
        <f t="shared" si="1"/>
        <v>3.564645308924485</v>
      </c>
      <c r="F11" s="84">
        <f t="shared" si="2"/>
        <v>40.26064530892448</v>
      </c>
      <c r="G11" s="145">
        <f t="shared" si="4"/>
        <v>2881.534906050343</v>
      </c>
      <c r="H11" s="160">
        <f>1000+1914</f>
        <v>2914</v>
      </c>
      <c r="I11" s="146">
        <f t="shared" si="3"/>
        <v>32.465093949656875</v>
      </c>
    </row>
    <row r="12" spans="1:9" s="15" customFormat="1" ht="15">
      <c r="A12" s="103" t="s">
        <v>860</v>
      </c>
      <c r="B12" s="22">
        <v>19</v>
      </c>
      <c r="C12" s="22">
        <f t="shared" si="0"/>
        <v>1.9000000000000001</v>
      </c>
      <c r="D12" s="22">
        <v>285</v>
      </c>
      <c r="E12" s="84">
        <f t="shared" si="1"/>
        <v>1.516304347826087</v>
      </c>
      <c r="F12" s="84">
        <f t="shared" si="2"/>
        <v>22.416304347826085</v>
      </c>
      <c r="G12" s="145">
        <f t="shared" si="4"/>
        <v>1604.3797347826087</v>
      </c>
      <c r="H12" s="161">
        <v>1647</v>
      </c>
      <c r="I12" s="146">
        <f t="shared" si="3"/>
        <v>42.62026521739131</v>
      </c>
    </row>
    <row r="13" spans="1:9" s="15" customFormat="1" ht="15">
      <c r="A13" s="103" t="s">
        <v>775</v>
      </c>
      <c r="B13" s="22">
        <v>24.17</v>
      </c>
      <c r="C13" s="22">
        <f t="shared" si="0"/>
        <v>2.4170000000000003</v>
      </c>
      <c r="D13" s="22">
        <v>1040</v>
      </c>
      <c r="E13" s="84">
        <f t="shared" si="1"/>
        <v>5.533180778032037</v>
      </c>
      <c r="F13" s="84">
        <f t="shared" si="2"/>
        <v>32.12018077803204</v>
      </c>
      <c r="G13" s="145">
        <f t="shared" si="4"/>
        <v>2298.905578645309</v>
      </c>
      <c r="H13" s="160">
        <v>2330</v>
      </c>
      <c r="I13" s="146">
        <f t="shared" si="3"/>
        <v>31.094421354690894</v>
      </c>
    </row>
    <row r="14" spans="1:10" s="8" customFormat="1" ht="15">
      <c r="A14" s="103" t="s">
        <v>224</v>
      </c>
      <c r="B14" s="85"/>
      <c r="C14" s="85"/>
      <c r="D14" s="22">
        <v>3770</v>
      </c>
      <c r="E14" s="84">
        <f t="shared" si="1"/>
        <v>20.05778032036613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8740</v>
      </c>
      <c r="E15" s="1">
        <v>46.5</v>
      </c>
      <c r="F15" s="113"/>
      <c r="G15" s="28"/>
      <c r="H15" s="28"/>
      <c r="I15" s="28"/>
    </row>
    <row r="19" ht="42.75" customHeight="1"/>
  </sheetData>
  <sheetProtection/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4">
      <selection activeCell="I16" sqref="I16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10" max="10" width="23.8515625" style="0" customWidth="1"/>
  </cols>
  <sheetData>
    <row r="1" spans="1:10" s="8" customFormat="1" ht="21">
      <c r="A1" s="9" t="s">
        <v>205</v>
      </c>
      <c r="B1" s="10">
        <v>42704</v>
      </c>
      <c r="C1" s="10"/>
      <c r="D1" s="10"/>
      <c r="E1" s="10"/>
      <c r="F1" s="11" t="s">
        <v>206</v>
      </c>
      <c r="G1" s="106">
        <v>69.64</v>
      </c>
      <c r="H1" s="8" t="s">
        <v>207</v>
      </c>
      <c r="J1" s="154"/>
    </row>
    <row r="2" s="8" customFormat="1" ht="15">
      <c r="A2" s="33" t="s">
        <v>1002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921</v>
      </c>
      <c r="B4" s="22">
        <v>4.27</v>
      </c>
      <c r="C4" s="22">
        <f aca="true" t="shared" si="0" ref="C4:C18">B4*0.1</f>
        <v>0.427</v>
      </c>
      <c r="D4" s="22">
        <v>30</v>
      </c>
      <c r="E4" s="84">
        <f aca="true" t="shared" si="1" ref="E4:E22">D4/$D$23*$E$23</f>
        <v>0.16037542662116042</v>
      </c>
      <c r="F4" s="84">
        <f aca="true" t="shared" si="2" ref="F4:F18">B4+E4+C4</f>
        <v>4.85737542662116</v>
      </c>
      <c r="G4" s="145">
        <f>F4*$G$1</f>
        <v>338.2676247098976</v>
      </c>
      <c r="H4" s="160">
        <v>352</v>
      </c>
      <c r="I4" s="146">
        <f aca="true" t="shared" si="3" ref="I4:I18">H4-G4</f>
        <v>13.732375290102425</v>
      </c>
    </row>
    <row r="5" spans="1:9" s="15" customFormat="1" ht="15">
      <c r="A5" s="103" t="s">
        <v>1004</v>
      </c>
      <c r="B5" s="22">
        <v>13.25</v>
      </c>
      <c r="C5" s="22">
        <f t="shared" si="0"/>
        <v>1.3250000000000002</v>
      </c>
      <c r="D5" s="22">
        <v>480</v>
      </c>
      <c r="E5" s="84">
        <f t="shared" si="1"/>
        <v>2.5660068259385667</v>
      </c>
      <c r="F5" s="84">
        <f t="shared" si="2"/>
        <v>17.141006825938568</v>
      </c>
      <c r="G5" s="145">
        <f aca="true" t="shared" si="4" ref="G5:G18">F5*$G$1</f>
        <v>1193.6997153583618</v>
      </c>
      <c r="H5" s="119">
        <v>1207</v>
      </c>
      <c r="I5" s="146">
        <f t="shared" si="3"/>
        <v>13.3002846416382</v>
      </c>
    </row>
    <row r="6" spans="1:9" s="8" customFormat="1" ht="15">
      <c r="A6" s="104" t="s">
        <v>1005</v>
      </c>
      <c r="B6" s="22">
        <v>7.08</v>
      </c>
      <c r="C6" s="22">
        <f t="shared" si="0"/>
        <v>0.7080000000000001</v>
      </c>
      <c r="D6" s="22">
        <v>120</v>
      </c>
      <c r="E6" s="84">
        <f t="shared" si="1"/>
        <v>0.6415017064846417</v>
      </c>
      <c r="F6" s="84">
        <f t="shared" si="2"/>
        <v>8.429501706484642</v>
      </c>
      <c r="G6" s="145">
        <f t="shared" si="4"/>
        <v>587.0304988395905</v>
      </c>
      <c r="H6" s="119">
        <v>589</v>
      </c>
      <c r="I6" s="146">
        <f t="shared" si="3"/>
        <v>1.9695011604095498</v>
      </c>
    </row>
    <row r="7" spans="1:9" s="15" customFormat="1" ht="15">
      <c r="A7" s="103" t="s">
        <v>1006</v>
      </c>
      <c r="B7" s="22">
        <v>4.6</v>
      </c>
      <c r="C7" s="22">
        <f t="shared" si="0"/>
        <v>0.45999999999999996</v>
      </c>
      <c r="D7" s="22">
        <v>550</v>
      </c>
      <c r="E7" s="84">
        <f t="shared" si="1"/>
        <v>2.940216154721274</v>
      </c>
      <c r="F7" s="84">
        <f t="shared" si="2"/>
        <v>8.000216154721272</v>
      </c>
      <c r="G7" s="145">
        <f t="shared" si="4"/>
        <v>557.1350530147894</v>
      </c>
      <c r="H7" s="160">
        <v>575</v>
      </c>
      <c r="I7" s="146">
        <f t="shared" si="3"/>
        <v>17.864946985210622</v>
      </c>
    </row>
    <row r="8" spans="1:9" s="15" customFormat="1" ht="15">
      <c r="A8" s="103" t="s">
        <v>630</v>
      </c>
      <c r="B8" s="22">
        <v>19.93</v>
      </c>
      <c r="C8" s="22">
        <f t="shared" si="0"/>
        <v>1.993</v>
      </c>
      <c r="D8" s="22">
        <v>270</v>
      </c>
      <c r="E8" s="84">
        <f t="shared" si="1"/>
        <v>1.4433788395904437</v>
      </c>
      <c r="F8" s="84">
        <f t="shared" si="2"/>
        <v>23.366378839590443</v>
      </c>
      <c r="G8" s="145">
        <f t="shared" si="4"/>
        <v>1627.2346223890784</v>
      </c>
      <c r="H8" s="119">
        <f>1607+21</f>
        <v>1628</v>
      </c>
      <c r="I8" s="146">
        <f t="shared" si="3"/>
        <v>0.7653776109216324</v>
      </c>
    </row>
    <row r="9" spans="1:9" s="15" customFormat="1" ht="15">
      <c r="A9" s="103" t="s">
        <v>115</v>
      </c>
      <c r="B9" s="22">
        <v>10.42</v>
      </c>
      <c r="C9" s="22">
        <f>B9*0.1</f>
        <v>1.042</v>
      </c>
      <c r="D9" s="22">
        <v>550</v>
      </c>
      <c r="E9" s="84">
        <f>D9/$D$23*$E$23</f>
        <v>2.940216154721274</v>
      </c>
      <c r="F9" s="84">
        <f>B9+E9+C9</f>
        <v>14.402216154721273</v>
      </c>
      <c r="G9" s="145">
        <f>F9*$G$1</f>
        <v>1002.9703330147895</v>
      </c>
      <c r="H9" s="160">
        <v>1027</v>
      </c>
      <c r="I9" s="146">
        <f>H9-G9</f>
        <v>24.029666985210497</v>
      </c>
    </row>
    <row r="10" spans="1:9" s="15" customFormat="1" ht="15">
      <c r="A10" s="103" t="s">
        <v>1007</v>
      </c>
      <c r="B10" s="22">
        <v>8.66</v>
      </c>
      <c r="C10" s="22">
        <f>B10*0.1</f>
        <v>0.8660000000000001</v>
      </c>
      <c r="D10" s="22">
        <v>1100</v>
      </c>
      <c r="E10" s="84">
        <f>D10/$D$23*$E$23</f>
        <v>5.880432309442548</v>
      </c>
      <c r="F10" s="84">
        <f>B10+E10+C10</f>
        <v>15.406432309442547</v>
      </c>
      <c r="G10" s="145">
        <f>F10*$G$1</f>
        <v>1072.903946029579</v>
      </c>
      <c r="H10" s="160">
        <v>1108</v>
      </c>
      <c r="I10" s="146">
        <f>H10-G10</f>
        <v>35.09605397042105</v>
      </c>
    </row>
    <row r="11" spans="1:9" s="8" customFormat="1" ht="15">
      <c r="A11" s="104" t="s">
        <v>1008</v>
      </c>
      <c r="B11" s="22">
        <v>6.31</v>
      </c>
      <c r="C11" s="22">
        <f>B11*0.1</f>
        <v>0.631</v>
      </c>
      <c r="D11" s="22">
        <v>250</v>
      </c>
      <c r="E11" s="84">
        <f>D11/$D$23*$E$23</f>
        <v>1.3364618885096702</v>
      </c>
      <c r="F11" s="84">
        <f>B11+E11+C11</f>
        <v>8.27746188850967</v>
      </c>
      <c r="G11" s="145">
        <f>F11*$G$1</f>
        <v>576.4424459158134</v>
      </c>
      <c r="H11" s="119">
        <v>581</v>
      </c>
      <c r="I11" s="146">
        <f>H11-G11</f>
        <v>4.557554084186563</v>
      </c>
    </row>
    <row r="12" spans="1:9" s="15" customFormat="1" ht="15">
      <c r="A12" s="103" t="s">
        <v>982</v>
      </c>
      <c r="B12" s="22">
        <v>12.42</v>
      </c>
      <c r="C12" s="22">
        <f>B12*0.1</f>
        <v>1.242</v>
      </c>
      <c r="D12" s="22">
        <v>70</v>
      </c>
      <c r="E12" s="84">
        <f>D12/$D$23*$E$23</f>
        <v>0.37420932878270763</v>
      </c>
      <c r="F12" s="84">
        <f>B12+E12+C12</f>
        <v>14.036209328782707</v>
      </c>
      <c r="G12" s="145">
        <f>F12*$G$1</f>
        <v>977.4816176564277</v>
      </c>
      <c r="H12" s="119">
        <v>1000</v>
      </c>
      <c r="I12" s="146">
        <f>H12-G12</f>
        <v>22.518382343572284</v>
      </c>
    </row>
    <row r="13" spans="1:9" s="15" customFormat="1" ht="15">
      <c r="A13" s="103" t="s">
        <v>556</v>
      </c>
      <c r="B13" s="22">
        <v>8.25</v>
      </c>
      <c r="C13" s="22">
        <f>B13*0.1</f>
        <v>0.8250000000000001</v>
      </c>
      <c r="D13" s="22">
        <v>140</v>
      </c>
      <c r="E13" s="84">
        <f>D13/$D$23*$E$23</f>
        <v>0.7484186575654153</v>
      </c>
      <c r="F13" s="84">
        <f>B13+E13+C13</f>
        <v>9.823418657565414</v>
      </c>
      <c r="G13" s="145">
        <f>F13*$G$1</f>
        <v>684.1028753128554</v>
      </c>
      <c r="H13" s="119">
        <v>692</v>
      </c>
      <c r="I13" s="146">
        <f>H13-G13</f>
        <v>7.897124687144583</v>
      </c>
    </row>
    <row r="14" spans="1:9" s="15" customFormat="1" ht="15">
      <c r="A14" s="103" t="s">
        <v>1009</v>
      </c>
      <c r="B14" s="22">
        <v>6.6</v>
      </c>
      <c r="C14" s="22">
        <f t="shared" si="0"/>
        <v>0.66</v>
      </c>
      <c r="D14" s="22">
        <v>130</v>
      </c>
      <c r="E14" s="84">
        <f t="shared" si="1"/>
        <v>0.6949601820250285</v>
      </c>
      <c r="F14" s="84">
        <f t="shared" si="2"/>
        <v>7.954960182025029</v>
      </c>
      <c r="G14" s="145">
        <f t="shared" si="4"/>
        <v>553.983427076223</v>
      </c>
      <c r="H14" s="160">
        <v>560</v>
      </c>
      <c r="I14" s="146">
        <f t="shared" si="3"/>
        <v>6.016572923776948</v>
      </c>
    </row>
    <row r="15" spans="1:10" s="15" customFormat="1" ht="45">
      <c r="A15" s="103" t="s">
        <v>813</v>
      </c>
      <c r="B15" s="22">
        <v>9</v>
      </c>
      <c r="C15" s="22">
        <f t="shared" si="0"/>
        <v>0.9</v>
      </c>
      <c r="D15" s="22">
        <v>250</v>
      </c>
      <c r="E15" s="84">
        <f t="shared" si="1"/>
        <v>1.3364618885096702</v>
      </c>
      <c r="F15" s="84">
        <f t="shared" si="2"/>
        <v>11.236461888509671</v>
      </c>
      <c r="G15" s="145">
        <f t="shared" si="4"/>
        <v>782.5072059158135</v>
      </c>
      <c r="H15" s="160">
        <f>577+158</f>
        <v>735</v>
      </c>
      <c r="I15" s="146">
        <f t="shared" si="3"/>
        <v>-47.50720591581353</v>
      </c>
      <c r="J15" s="129" t="s">
        <v>1013</v>
      </c>
    </row>
    <row r="16" spans="1:9" s="8" customFormat="1" ht="15">
      <c r="A16" s="104" t="s">
        <v>740</v>
      </c>
      <c r="B16" s="22">
        <v>23.17</v>
      </c>
      <c r="C16" s="22">
        <f t="shared" si="0"/>
        <v>2.317</v>
      </c>
      <c r="D16" s="22">
        <v>590</v>
      </c>
      <c r="E16" s="84">
        <f t="shared" si="1"/>
        <v>3.154050056882822</v>
      </c>
      <c r="F16" s="84">
        <f t="shared" si="2"/>
        <v>28.641050056882825</v>
      </c>
      <c r="G16" s="145">
        <f t="shared" si="4"/>
        <v>1994.56272596132</v>
      </c>
      <c r="H16" s="119">
        <v>1853</v>
      </c>
      <c r="I16" s="146">
        <f t="shared" si="3"/>
        <v>-141.56272596131998</v>
      </c>
    </row>
    <row r="17" spans="1:9" s="15" customFormat="1" ht="15">
      <c r="A17" s="103" t="s">
        <v>580</v>
      </c>
      <c r="B17" s="22">
        <v>27</v>
      </c>
      <c r="C17" s="22">
        <f t="shared" si="0"/>
        <v>2.7</v>
      </c>
      <c r="D17" s="22">
        <v>1140</v>
      </c>
      <c r="E17" s="84">
        <f t="shared" si="1"/>
        <v>6.094266211604095</v>
      </c>
      <c r="F17" s="84">
        <f t="shared" si="2"/>
        <v>35.794266211604096</v>
      </c>
      <c r="G17" s="145">
        <f t="shared" si="4"/>
        <v>2492.712698976109</v>
      </c>
      <c r="H17" s="161">
        <v>2561</v>
      </c>
      <c r="I17" s="146">
        <f t="shared" si="3"/>
        <v>68.2873010238909</v>
      </c>
    </row>
    <row r="18" spans="1:9" s="15" customFormat="1" ht="15">
      <c r="A18" s="103" t="s">
        <v>1010</v>
      </c>
      <c r="B18" s="22">
        <v>54.37</v>
      </c>
      <c r="C18" s="22">
        <f t="shared" si="0"/>
        <v>5.437</v>
      </c>
      <c r="D18" s="22">
        <v>475</v>
      </c>
      <c r="E18" s="84">
        <f t="shared" si="1"/>
        <v>2.5392775881683733</v>
      </c>
      <c r="F18" s="84">
        <f t="shared" si="2"/>
        <v>62.34627758816837</v>
      </c>
      <c r="G18" s="145">
        <f t="shared" si="4"/>
        <v>4341.7947712400455</v>
      </c>
      <c r="H18" s="119">
        <v>4403</v>
      </c>
      <c r="I18" s="146">
        <f t="shared" si="3"/>
        <v>61.20522875995448</v>
      </c>
    </row>
    <row r="19" spans="1:9" s="15" customFormat="1" ht="15">
      <c r="A19" s="103" t="s">
        <v>1011</v>
      </c>
      <c r="B19" s="22">
        <v>27.68</v>
      </c>
      <c r="C19" s="22">
        <f>B19*0.1</f>
        <v>2.7680000000000002</v>
      </c>
      <c r="D19" s="22">
        <v>360</v>
      </c>
      <c r="E19" s="84">
        <f>D19/$D$23*$E$23</f>
        <v>1.9245051194539249</v>
      </c>
      <c r="F19" s="84">
        <f>B19+E19+C19</f>
        <v>32.372505119453926</v>
      </c>
      <c r="G19" s="145">
        <f>F19*$G$1</f>
        <v>2254.4212565187713</v>
      </c>
      <c r="H19" s="160">
        <f>1000+1285</f>
        <v>2285</v>
      </c>
      <c r="I19" s="146">
        <f>H19-G19</f>
        <v>30.578743481228685</v>
      </c>
    </row>
    <row r="20" spans="1:9" s="15" customFormat="1" ht="15">
      <c r="A20" s="103" t="s">
        <v>254</v>
      </c>
      <c r="B20" s="22">
        <v>19.91</v>
      </c>
      <c r="C20" s="22">
        <f>B20*0.1</f>
        <v>1.991</v>
      </c>
      <c r="D20" s="22">
        <v>120</v>
      </c>
      <c r="E20" s="84">
        <f>D20/$D$23*$E$23</f>
        <v>0.6415017064846417</v>
      </c>
      <c r="F20" s="84">
        <f>B20+E20+C20</f>
        <v>22.542501706484643</v>
      </c>
      <c r="G20" s="145">
        <f>F20*$G$1</f>
        <v>1569.8598188395906</v>
      </c>
      <c r="H20" s="119">
        <v>1582</v>
      </c>
      <c r="I20" s="146">
        <f>H20-G20</f>
        <v>12.140181160409384</v>
      </c>
    </row>
    <row r="21" spans="1:9" s="15" customFormat="1" ht="15">
      <c r="A21" s="103" t="s">
        <v>960</v>
      </c>
      <c r="B21" s="22">
        <v>9.83</v>
      </c>
      <c r="C21" s="22">
        <f>B21*0.1</f>
        <v>0.9830000000000001</v>
      </c>
      <c r="D21" s="22">
        <v>415</v>
      </c>
      <c r="E21" s="84">
        <f>D21/$D$23*$E$23</f>
        <v>2.2185267349260522</v>
      </c>
      <c r="F21" s="84">
        <f>B21+E21+C21</f>
        <v>13.031526734926054</v>
      </c>
      <c r="G21" s="145">
        <f>F21*$G$1</f>
        <v>907.5155218202503</v>
      </c>
      <c r="H21" s="119">
        <v>928.05</v>
      </c>
      <c r="I21" s="146">
        <f>H21-G21</f>
        <v>20.534478179749613</v>
      </c>
    </row>
    <row r="22" spans="1:10" s="8" customFormat="1" ht="15">
      <c r="A22" s="103" t="s">
        <v>224</v>
      </c>
      <c r="B22" s="85"/>
      <c r="C22" s="85"/>
      <c r="D22" s="22">
        <v>1750</v>
      </c>
      <c r="E22" s="84">
        <f t="shared" si="1"/>
        <v>9.35523321956769</v>
      </c>
      <c r="F22" s="85"/>
      <c r="G22" s="28"/>
      <c r="H22" s="156"/>
      <c r="I22" s="28"/>
      <c r="J22" s="32"/>
    </row>
    <row r="23" spans="1:9" s="8" customFormat="1" ht="15">
      <c r="A23" s="25"/>
      <c r="B23" s="86"/>
      <c r="C23" s="86"/>
      <c r="D23" s="86">
        <f>SUM(D4:D22)</f>
        <v>8790</v>
      </c>
      <c r="E23" s="1">
        <v>46.99</v>
      </c>
      <c r="F23" s="113"/>
      <c r="G23" s="28"/>
      <c r="H23" s="28"/>
      <c r="I23" s="28"/>
    </row>
    <row r="25" ht="28.5">
      <c r="A25" s="107" t="s">
        <v>889</v>
      </c>
    </row>
    <row r="26" ht="28.5">
      <c r="A26" s="107" t="s">
        <v>1003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  <col min="10" max="10" width="25.8515625" style="0" customWidth="1"/>
  </cols>
  <sheetData>
    <row r="1" spans="1:10" s="8" customFormat="1" ht="21">
      <c r="A1" s="9" t="s">
        <v>205</v>
      </c>
      <c r="B1" s="10">
        <v>42704</v>
      </c>
      <c r="C1" s="10"/>
      <c r="D1" s="10"/>
      <c r="E1" s="10"/>
      <c r="F1" s="11" t="s">
        <v>206</v>
      </c>
      <c r="G1" s="106">
        <v>69.64</v>
      </c>
      <c r="H1" s="8" t="s">
        <v>207</v>
      </c>
      <c r="J1" s="154"/>
    </row>
    <row r="2" s="8" customFormat="1" ht="15">
      <c r="A2" s="33" t="s">
        <v>1002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126</v>
      </c>
      <c r="B4" s="22">
        <v>6.42</v>
      </c>
      <c r="C4" s="22">
        <f aca="true" t="shared" si="0" ref="C4:C9">B4*0.1</f>
        <v>0.642</v>
      </c>
      <c r="D4" s="22">
        <v>430</v>
      </c>
      <c r="E4" s="84">
        <f aca="true" t="shared" si="1" ref="E4:E10">D4/$D$11*$E$11</f>
        <v>2.2476250933532484</v>
      </c>
      <c r="F4" s="84">
        <f aca="true" t="shared" si="2" ref="F4:F9">B4+E4+C4</f>
        <v>9.309625093353247</v>
      </c>
      <c r="G4" s="145">
        <f aca="true" t="shared" si="3" ref="G4:G9">F4*$G$1</f>
        <v>648.3222915011202</v>
      </c>
      <c r="H4" s="160">
        <v>691</v>
      </c>
      <c r="I4" s="146">
        <f aca="true" t="shared" si="4" ref="I4:I9">H4-G4</f>
        <v>42.67770849887984</v>
      </c>
    </row>
    <row r="5" spans="1:9" s="15" customFormat="1" ht="15">
      <c r="A5" s="103" t="s">
        <v>739</v>
      </c>
      <c r="B5" s="22">
        <v>100.5</v>
      </c>
      <c r="C5" s="22">
        <f t="shared" si="0"/>
        <v>10.05</v>
      </c>
      <c r="D5" s="22">
        <v>3570</v>
      </c>
      <c r="E5" s="84">
        <f t="shared" si="1"/>
        <v>18.660515309932784</v>
      </c>
      <c r="F5" s="84">
        <f>B5+E5+C5</f>
        <v>129.2105153099328</v>
      </c>
      <c r="G5" s="145">
        <f t="shared" si="3"/>
        <v>8998.22028618372</v>
      </c>
      <c r="H5" s="160">
        <f>2100+6990</f>
        <v>9090</v>
      </c>
      <c r="I5" s="146">
        <f>H5-G5</f>
        <v>91.77971381628049</v>
      </c>
    </row>
    <row r="6" spans="1:9" s="15" customFormat="1" ht="15">
      <c r="A6" s="103" t="s">
        <v>1012</v>
      </c>
      <c r="B6" s="22">
        <v>15.26</v>
      </c>
      <c r="C6" s="22">
        <f t="shared" si="0"/>
        <v>1.526</v>
      </c>
      <c r="D6" s="22">
        <v>1490</v>
      </c>
      <c r="E6" s="84">
        <f t="shared" si="1"/>
        <v>7.788282300224047</v>
      </c>
      <c r="F6" s="84">
        <f t="shared" si="2"/>
        <v>24.574282300224045</v>
      </c>
      <c r="G6" s="145">
        <f t="shared" si="3"/>
        <v>1711.3530193876024</v>
      </c>
      <c r="H6" s="119">
        <v>1711</v>
      </c>
      <c r="I6" s="146">
        <f t="shared" si="4"/>
        <v>-0.3530193876024441</v>
      </c>
    </row>
    <row r="7" spans="1:9" s="8" customFormat="1" ht="15">
      <c r="A7" s="104" t="s">
        <v>735</v>
      </c>
      <c r="B7" s="22">
        <v>25.87</v>
      </c>
      <c r="C7" s="22">
        <f t="shared" si="0"/>
        <v>2.587</v>
      </c>
      <c r="D7" s="22">
        <v>1950</v>
      </c>
      <c r="E7" s="84">
        <f t="shared" si="1"/>
        <v>10.19271844660194</v>
      </c>
      <c r="F7" s="84">
        <f t="shared" si="2"/>
        <v>38.649718446601945</v>
      </c>
      <c r="G7" s="145">
        <f t="shared" si="3"/>
        <v>2691.5663926213597</v>
      </c>
      <c r="H7" s="161">
        <f>2647+44</f>
        <v>2691</v>
      </c>
      <c r="I7" s="146">
        <f t="shared" si="4"/>
        <v>-0.5663926213596824</v>
      </c>
    </row>
    <row r="8" spans="1:10" s="15" customFormat="1" ht="30">
      <c r="A8" s="103" t="s">
        <v>936</v>
      </c>
      <c r="B8" s="22">
        <v>24.99</v>
      </c>
      <c r="C8" s="22">
        <f t="shared" si="0"/>
        <v>2.499</v>
      </c>
      <c r="D8" s="22">
        <v>900</v>
      </c>
      <c r="E8" s="84">
        <f t="shared" si="1"/>
        <v>4.704331590739357</v>
      </c>
      <c r="F8" s="84">
        <f t="shared" si="2"/>
        <v>32.193331590739355</v>
      </c>
      <c r="G8" s="145">
        <f t="shared" si="3"/>
        <v>2241.9436119790885</v>
      </c>
      <c r="H8" s="119">
        <f>2269-27</f>
        <v>2242</v>
      </c>
      <c r="I8" s="146">
        <f t="shared" si="4"/>
        <v>0.05638802091152684</v>
      </c>
      <c r="J8" s="129" t="s">
        <v>1033</v>
      </c>
    </row>
    <row r="9" spans="1:10" s="15" customFormat="1" ht="15">
      <c r="A9" s="103" t="s">
        <v>775</v>
      </c>
      <c r="B9" s="22">
        <v>14.6</v>
      </c>
      <c r="C9" s="22">
        <f t="shared" si="0"/>
        <v>1.46</v>
      </c>
      <c r="D9" s="22">
        <v>430</v>
      </c>
      <c r="E9" s="84">
        <f t="shared" si="1"/>
        <v>2.2476250933532484</v>
      </c>
      <c r="F9" s="84">
        <f t="shared" si="2"/>
        <v>18.30762509335325</v>
      </c>
      <c r="G9" s="145">
        <f t="shared" si="3"/>
        <v>1274.9430115011203</v>
      </c>
      <c r="H9" s="160">
        <f>1329-78</f>
        <v>1251</v>
      </c>
      <c r="I9" s="146">
        <f t="shared" si="4"/>
        <v>-23.94301150112028</v>
      </c>
      <c r="J9" s="129" t="s">
        <v>1041</v>
      </c>
    </row>
    <row r="10" spans="1:10" s="8" customFormat="1" ht="15">
      <c r="A10" s="103" t="s">
        <v>224</v>
      </c>
      <c r="B10" s="85"/>
      <c r="C10" s="85"/>
      <c r="D10" s="22">
        <v>4620</v>
      </c>
      <c r="E10" s="84">
        <f t="shared" si="1"/>
        <v>24.14890216579537</v>
      </c>
      <c r="F10" s="85"/>
      <c r="G10" s="28"/>
      <c r="H10" s="156"/>
      <c r="I10" s="28"/>
      <c r="J10" s="32"/>
    </row>
    <row r="11" spans="1:9" s="8" customFormat="1" ht="15">
      <c r="A11" s="25"/>
      <c r="B11" s="86"/>
      <c r="C11" s="86"/>
      <c r="D11" s="86">
        <f>SUM(D4:D10)</f>
        <v>13390</v>
      </c>
      <c r="E11" s="1">
        <v>69.99</v>
      </c>
      <c r="F11" s="113"/>
      <c r="G11" s="28"/>
      <c r="H11" s="28"/>
      <c r="I11" s="28"/>
    </row>
    <row r="16" ht="28.5">
      <c r="A16" s="107" t="s">
        <v>889</v>
      </c>
    </row>
    <row r="17" ht="28.5">
      <c r="A17" s="107" t="s">
        <v>1003</v>
      </c>
    </row>
  </sheetData>
  <sheetProtection/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</cols>
  <sheetData>
    <row r="1" spans="1:10" s="8" customFormat="1" ht="21">
      <c r="A1" s="9" t="s">
        <v>205</v>
      </c>
      <c r="B1" s="10">
        <v>42711</v>
      </c>
      <c r="C1" s="10"/>
      <c r="D1" s="10"/>
      <c r="E1" s="10"/>
      <c r="F1" s="11" t="s">
        <v>206</v>
      </c>
      <c r="G1" s="106">
        <v>70.514</v>
      </c>
      <c r="H1" s="8" t="s">
        <v>207</v>
      </c>
      <c r="J1" s="154"/>
    </row>
    <row r="2" s="8" customFormat="1" ht="15">
      <c r="A2" s="33" t="s">
        <v>1020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418</v>
      </c>
      <c r="B4" s="22">
        <v>51.68</v>
      </c>
      <c r="C4" s="22">
        <f aca="true" t="shared" si="0" ref="C4:C9">B4*0.1</f>
        <v>5.168</v>
      </c>
      <c r="D4" s="22">
        <v>440</v>
      </c>
      <c r="E4" s="84">
        <f aca="true" t="shared" si="1" ref="E4:E12">D4/$D$13*$E$13</f>
        <v>2.5275794621026897</v>
      </c>
      <c r="F4" s="84">
        <f aca="true" t="shared" si="2" ref="F4:F9">B4+E4+C4</f>
        <v>59.375579462102685</v>
      </c>
      <c r="G4" s="145">
        <f aca="true" t="shared" si="3" ref="G4:G9">F4*$G$1</f>
        <v>4186.809610190709</v>
      </c>
      <c r="H4" s="119">
        <v>4146</v>
      </c>
      <c r="I4" s="146">
        <f aca="true" t="shared" si="4" ref="I4:I9">H4-G4</f>
        <v>-40.809610190708554</v>
      </c>
    </row>
    <row r="5" spans="1:9" s="15" customFormat="1" ht="15">
      <c r="A5" s="103" t="s">
        <v>985</v>
      </c>
      <c r="B5" s="22">
        <v>12.92</v>
      </c>
      <c r="C5" s="22">
        <f t="shared" si="0"/>
        <v>1.292</v>
      </c>
      <c r="D5" s="22">
        <v>110</v>
      </c>
      <c r="E5" s="84">
        <f t="shared" si="1"/>
        <v>0.6318948655256724</v>
      </c>
      <c r="F5" s="84">
        <f>B5+E5+C5</f>
        <v>14.843894865525671</v>
      </c>
      <c r="G5" s="145">
        <f t="shared" si="3"/>
        <v>1046.7024025476771</v>
      </c>
      <c r="H5" s="150">
        <v>1047.23</v>
      </c>
      <c r="I5" s="146">
        <f>H5-G5</f>
        <v>0.5275974523228797</v>
      </c>
    </row>
    <row r="6" spans="1:9" s="15" customFormat="1" ht="15">
      <c r="A6" s="103" t="s">
        <v>1021</v>
      </c>
      <c r="B6" s="22">
        <v>5.42</v>
      </c>
      <c r="C6" s="22">
        <f t="shared" si="0"/>
        <v>0.542</v>
      </c>
      <c r="D6" s="22">
        <v>240</v>
      </c>
      <c r="E6" s="84">
        <f t="shared" si="1"/>
        <v>1.378679706601467</v>
      </c>
      <c r="F6" s="84">
        <f t="shared" si="2"/>
        <v>7.340679706601467</v>
      </c>
      <c r="G6" s="145">
        <f t="shared" si="3"/>
        <v>517.6206888312958</v>
      </c>
      <c r="H6" s="132">
        <v>517</v>
      </c>
      <c r="I6" s="146">
        <f t="shared" si="4"/>
        <v>-0.6206888312957517</v>
      </c>
    </row>
    <row r="7" spans="1:9" s="8" customFormat="1" ht="15">
      <c r="A7" s="104" t="s">
        <v>8</v>
      </c>
      <c r="B7" s="22">
        <v>14.08</v>
      </c>
      <c r="C7" s="22">
        <f t="shared" si="0"/>
        <v>1.4080000000000001</v>
      </c>
      <c r="D7" s="22">
        <v>520</v>
      </c>
      <c r="E7" s="84">
        <f t="shared" si="1"/>
        <v>2.9871393643031787</v>
      </c>
      <c r="F7" s="84">
        <f t="shared" si="2"/>
        <v>18.475139364303182</v>
      </c>
      <c r="G7" s="145">
        <f t="shared" si="3"/>
        <v>1302.7559771344745</v>
      </c>
      <c r="H7" s="119">
        <v>1236</v>
      </c>
      <c r="I7" s="146">
        <f t="shared" si="4"/>
        <v>-66.7559771344745</v>
      </c>
    </row>
    <row r="8" spans="1:9" s="15" customFormat="1" ht="15">
      <c r="A8" s="103" t="s">
        <v>1008</v>
      </c>
      <c r="B8" s="22">
        <v>9.58</v>
      </c>
      <c r="C8" s="22">
        <f t="shared" si="0"/>
        <v>0.9580000000000001</v>
      </c>
      <c r="D8" s="22">
        <v>190</v>
      </c>
      <c r="E8" s="84">
        <f t="shared" si="1"/>
        <v>1.0914547677261615</v>
      </c>
      <c r="F8" s="84">
        <f t="shared" si="2"/>
        <v>11.62945476772616</v>
      </c>
      <c r="G8" s="145">
        <f t="shared" si="3"/>
        <v>820.0393734914425</v>
      </c>
      <c r="H8" s="119">
        <v>814</v>
      </c>
      <c r="I8" s="146">
        <f t="shared" si="4"/>
        <v>-6.039373491442461</v>
      </c>
    </row>
    <row r="9" spans="1:9" s="15" customFormat="1" ht="15">
      <c r="A9" s="103" t="s">
        <v>860</v>
      </c>
      <c r="B9" s="22">
        <v>13.75</v>
      </c>
      <c r="C9" s="22">
        <f t="shared" si="0"/>
        <v>1.375</v>
      </c>
      <c r="D9" s="22">
        <v>360</v>
      </c>
      <c r="E9" s="84">
        <f t="shared" si="1"/>
        <v>2.0680195599022007</v>
      </c>
      <c r="F9" s="84">
        <f t="shared" si="2"/>
        <v>17.1930195599022</v>
      </c>
      <c r="G9" s="145">
        <f t="shared" si="3"/>
        <v>1212.3485812469437</v>
      </c>
      <c r="H9" s="160">
        <v>1213</v>
      </c>
      <c r="I9" s="146">
        <f t="shared" si="4"/>
        <v>0.6514187530563049</v>
      </c>
    </row>
    <row r="10" spans="1:9" s="15" customFormat="1" ht="15">
      <c r="A10" s="103" t="s">
        <v>693</v>
      </c>
      <c r="B10" s="22">
        <v>8.06</v>
      </c>
      <c r="C10" s="22">
        <f>B10*0.1</f>
        <v>0.806</v>
      </c>
      <c r="D10" s="22">
        <v>85</v>
      </c>
      <c r="E10" s="84">
        <f>D10/$D$13*$E$13</f>
        <v>0.48828239608801954</v>
      </c>
      <c r="F10" s="84">
        <f>B10+E10+C10</f>
        <v>9.35428239608802</v>
      </c>
      <c r="G10" s="145">
        <f>F10*$G$1</f>
        <v>659.6078688777507</v>
      </c>
      <c r="H10" s="119">
        <v>667</v>
      </c>
      <c r="I10" s="146">
        <f>H10-G10</f>
        <v>7.392131122249339</v>
      </c>
    </row>
    <row r="11" spans="1:9" s="15" customFormat="1" ht="15">
      <c r="A11" s="103" t="s">
        <v>512</v>
      </c>
      <c r="B11" s="22">
        <v>30.17</v>
      </c>
      <c r="C11" s="22">
        <f>B11*0.1</f>
        <v>3.0170000000000003</v>
      </c>
      <c r="D11" s="22">
        <v>385</v>
      </c>
      <c r="E11" s="84">
        <f>D11/$D$13*$E$13</f>
        <v>2.2116320293398535</v>
      </c>
      <c r="F11" s="84">
        <f>B11+E11+C11</f>
        <v>35.39863202933986</v>
      </c>
      <c r="G11" s="145">
        <f>F11*$G$1</f>
        <v>2496.0991389168707</v>
      </c>
      <c r="H11" s="132">
        <v>2493</v>
      </c>
      <c r="I11" s="146">
        <f>H11-G11</f>
        <v>-3.099138916870743</v>
      </c>
    </row>
    <row r="12" spans="1:10" s="8" customFormat="1" ht="15">
      <c r="A12" s="103" t="s">
        <v>224</v>
      </c>
      <c r="B12" s="85"/>
      <c r="C12" s="85"/>
      <c r="D12" s="22">
        <v>5850</v>
      </c>
      <c r="E12" s="84">
        <f t="shared" si="1"/>
        <v>33.605317848410756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8180</v>
      </c>
      <c r="E13" s="1">
        <v>46.99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42718</v>
      </c>
      <c r="C1" s="10"/>
      <c r="D1" s="10"/>
      <c r="E1" s="10"/>
      <c r="F1" s="11" t="s">
        <v>206</v>
      </c>
      <c r="G1" s="106">
        <v>66.31</v>
      </c>
      <c r="H1" s="8" t="s">
        <v>207</v>
      </c>
      <c r="J1" s="154"/>
    </row>
    <row r="2" s="8" customFormat="1" ht="15">
      <c r="A2" s="33" t="s">
        <v>1025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418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4">D4/$D$15*$E$15</f>
        <v>2.903876404494382</v>
      </c>
      <c r="F4" s="84">
        <f aca="true" t="shared" si="2" ref="F4:F9">B4+E4+C4</f>
        <v>75.77887640449438</v>
      </c>
      <c r="G4" s="145">
        <f aca="true" t="shared" si="3" ref="G4:G9">F4*$G$1</f>
        <v>5024.897294382023</v>
      </c>
      <c r="H4" s="119">
        <v>5032</v>
      </c>
      <c r="I4" s="146">
        <f aca="true" t="shared" si="4" ref="I4:I9">H4-G4</f>
        <v>7.102705617977335</v>
      </c>
    </row>
    <row r="5" spans="1:9" s="15" customFormat="1" ht="15">
      <c r="A5" s="103" t="s">
        <v>102</v>
      </c>
      <c r="B5" s="22">
        <v>14.15</v>
      </c>
      <c r="C5" s="22">
        <f t="shared" si="0"/>
        <v>1.415</v>
      </c>
      <c r="D5" s="22">
        <v>920</v>
      </c>
      <c r="E5" s="84">
        <f t="shared" si="1"/>
        <v>4.857393258426966</v>
      </c>
      <c r="F5" s="84">
        <f>B5+E5+C5</f>
        <v>20.422393258426965</v>
      </c>
      <c r="G5" s="145">
        <f t="shared" si="3"/>
        <v>1354.208896966292</v>
      </c>
      <c r="H5" s="150">
        <v>1359</v>
      </c>
      <c r="I5" s="146">
        <f>H5-G5</f>
        <v>4.791103033707941</v>
      </c>
    </row>
    <row r="6" spans="1:9" s="15" customFormat="1" ht="15">
      <c r="A6" s="103" t="s">
        <v>1026</v>
      </c>
      <c r="B6" s="22">
        <v>17.86</v>
      </c>
      <c r="C6" s="22">
        <f t="shared" si="0"/>
        <v>1.786</v>
      </c>
      <c r="D6" s="22">
        <v>55</v>
      </c>
      <c r="E6" s="84">
        <f t="shared" si="1"/>
        <v>0.2903876404494382</v>
      </c>
      <c r="F6" s="84">
        <f t="shared" si="2"/>
        <v>19.93638764044944</v>
      </c>
      <c r="G6" s="145">
        <f t="shared" si="3"/>
        <v>1321.9818644382024</v>
      </c>
      <c r="H6" s="119">
        <v>1318</v>
      </c>
      <c r="I6" s="146">
        <f t="shared" si="4"/>
        <v>-3.981864438202365</v>
      </c>
    </row>
    <row r="7" spans="1:9" s="8" customFormat="1" ht="15">
      <c r="A7" s="104" t="s">
        <v>203</v>
      </c>
      <c r="B7" s="22">
        <v>11.58</v>
      </c>
      <c r="C7" s="22">
        <f t="shared" si="0"/>
        <v>1.1580000000000001</v>
      </c>
      <c r="D7" s="22">
        <v>260</v>
      </c>
      <c r="E7" s="84">
        <f t="shared" si="1"/>
        <v>1.372741573033708</v>
      </c>
      <c r="F7" s="84">
        <f t="shared" si="2"/>
        <v>14.110741573033708</v>
      </c>
      <c r="G7" s="145">
        <f t="shared" si="3"/>
        <v>935.6832737078653</v>
      </c>
      <c r="H7" s="119">
        <v>931</v>
      </c>
      <c r="I7" s="146">
        <f t="shared" si="4"/>
        <v>-4.683273707865283</v>
      </c>
    </row>
    <row r="8" spans="1:9" s="15" customFormat="1" ht="15">
      <c r="A8" s="103" t="s">
        <v>1027</v>
      </c>
      <c r="B8" s="22">
        <v>3.29</v>
      </c>
      <c r="C8" s="22">
        <f t="shared" si="0"/>
        <v>0.329</v>
      </c>
      <c r="D8" s="22">
        <v>230</v>
      </c>
      <c r="E8" s="84">
        <f t="shared" si="1"/>
        <v>1.2143483146067415</v>
      </c>
      <c r="F8" s="84">
        <f t="shared" si="2"/>
        <v>4.8333483146067415</v>
      </c>
      <c r="G8" s="145">
        <f t="shared" si="3"/>
        <v>320.49932674157304</v>
      </c>
      <c r="H8" s="119">
        <f>340</f>
        <v>340</v>
      </c>
      <c r="I8" s="146">
        <f t="shared" si="4"/>
        <v>19.500673258426957</v>
      </c>
    </row>
    <row r="9" spans="1:9" s="15" customFormat="1" ht="15">
      <c r="A9" s="103" t="s">
        <v>1028</v>
      </c>
      <c r="B9" s="22">
        <v>18.7</v>
      </c>
      <c r="C9" s="22">
        <f t="shared" si="0"/>
        <v>1.87</v>
      </c>
      <c r="D9" s="22">
        <v>1150</v>
      </c>
      <c r="E9" s="84">
        <f t="shared" si="1"/>
        <v>6.071741573033709</v>
      </c>
      <c r="F9" s="84">
        <f t="shared" si="2"/>
        <v>26.64174157303371</v>
      </c>
      <c r="G9" s="145">
        <f t="shared" si="3"/>
        <v>1766.6138837078654</v>
      </c>
      <c r="H9" s="160">
        <v>1775</v>
      </c>
      <c r="I9" s="146">
        <f t="shared" si="4"/>
        <v>8.386116292134602</v>
      </c>
    </row>
    <row r="10" spans="1:9" s="15" customFormat="1" ht="15">
      <c r="A10" s="103" t="s">
        <v>7</v>
      </c>
      <c r="B10" s="22">
        <v>5.95</v>
      </c>
      <c r="C10" s="22">
        <f>B10*0.1</f>
        <v>0.5950000000000001</v>
      </c>
      <c r="D10" s="22">
        <v>55</v>
      </c>
      <c r="E10" s="84">
        <f>D10/$D$15*$E$15</f>
        <v>0.2903876404494382</v>
      </c>
      <c r="F10" s="84">
        <f>B10+E10+C10</f>
        <v>6.835387640449438</v>
      </c>
      <c r="G10" s="145">
        <f>F10*$G$1</f>
        <v>453.25455443820226</v>
      </c>
      <c r="H10" s="119">
        <v>452</v>
      </c>
      <c r="I10" s="146">
        <f>H10-G10</f>
        <v>-1.2545544382022626</v>
      </c>
    </row>
    <row r="11" spans="1:9" s="15" customFormat="1" ht="15">
      <c r="A11" s="103" t="s">
        <v>1029</v>
      </c>
      <c r="B11" s="22">
        <v>54.7</v>
      </c>
      <c r="C11" s="22">
        <f>B11*0.1</f>
        <v>5.470000000000001</v>
      </c>
      <c r="D11" s="22">
        <v>1010</v>
      </c>
      <c r="E11" s="84">
        <f>D11/$D$15*$E$15</f>
        <v>5.332573033707866</v>
      </c>
      <c r="F11" s="84">
        <f>B11+E11+C11</f>
        <v>65.50257303370788</v>
      </c>
      <c r="G11" s="145">
        <f>F11*$G$1</f>
        <v>4343.47561786517</v>
      </c>
      <c r="H11" s="132">
        <f>2000+2345</f>
        <v>4345</v>
      </c>
      <c r="I11" s="146">
        <f>H11-G11</f>
        <v>1.5243821348303754</v>
      </c>
    </row>
    <row r="12" spans="1:9" s="15" customFormat="1" ht="15">
      <c r="A12" s="103" t="s">
        <v>1030</v>
      </c>
      <c r="B12" s="22">
        <v>11.96</v>
      </c>
      <c r="C12" s="22">
        <f>B12*0.1</f>
        <v>1.1960000000000002</v>
      </c>
      <c r="D12" s="22">
        <v>265</v>
      </c>
      <c r="E12" s="84">
        <f>D12/$D$15*$E$15</f>
        <v>1.3991404494382023</v>
      </c>
      <c r="F12" s="84">
        <f>B12+E12+C12</f>
        <v>14.555140449438204</v>
      </c>
      <c r="G12" s="145">
        <f>F12*$G$1</f>
        <v>965.1513632022474</v>
      </c>
      <c r="H12" s="119">
        <v>965</v>
      </c>
      <c r="I12" s="146">
        <f>H12-G12</f>
        <v>-0.151363202247353</v>
      </c>
    </row>
    <row r="13" spans="1:9" s="15" customFormat="1" ht="15">
      <c r="A13" s="103" t="s">
        <v>950</v>
      </c>
      <c r="B13" s="22">
        <v>9</v>
      </c>
      <c r="C13" s="22">
        <f>B13*0.1</f>
        <v>0.9</v>
      </c>
      <c r="D13" s="22">
        <v>250</v>
      </c>
      <c r="E13" s="84">
        <f>D13/$D$15*$E$15</f>
        <v>1.3199438202247191</v>
      </c>
      <c r="F13" s="84">
        <f>B13+E13+C13</f>
        <v>11.219943820224719</v>
      </c>
      <c r="G13" s="145">
        <f>F13*$G$1</f>
        <v>743.9944747191012</v>
      </c>
      <c r="H13" s="119">
        <v>742</v>
      </c>
      <c r="I13" s="146">
        <f>H13-G13</f>
        <v>-1.994474719101163</v>
      </c>
    </row>
    <row r="14" spans="1:10" s="8" customFormat="1" ht="15">
      <c r="A14" s="103" t="s">
        <v>224</v>
      </c>
      <c r="B14" s="85"/>
      <c r="C14" s="85"/>
      <c r="D14" s="22">
        <v>4155</v>
      </c>
      <c r="E14" s="84">
        <f t="shared" si="1"/>
        <v>21.937466292134832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8900</v>
      </c>
      <c r="E15" s="1">
        <v>46.99</v>
      </c>
      <c r="F15" s="113"/>
      <c r="G15" s="28"/>
      <c r="H15" s="28"/>
      <c r="I15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  <col min="10" max="10" width="20.421875" style="0" customWidth="1"/>
  </cols>
  <sheetData>
    <row r="1" spans="1:10" s="8" customFormat="1" ht="21">
      <c r="A1" s="9" t="s">
        <v>205</v>
      </c>
      <c r="B1" s="10">
        <v>42727</v>
      </c>
      <c r="C1" s="10"/>
      <c r="D1" s="10"/>
      <c r="E1" s="10"/>
      <c r="F1" s="11" t="s">
        <v>206</v>
      </c>
      <c r="G1" s="106">
        <v>65.32</v>
      </c>
      <c r="H1" s="8" t="s">
        <v>207</v>
      </c>
      <c r="J1" s="154"/>
    </row>
    <row r="2" s="8" customFormat="1" ht="15">
      <c r="A2" s="33" t="s">
        <v>1034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1036</v>
      </c>
      <c r="B4" s="22">
        <v>16.5</v>
      </c>
      <c r="C4" s="22">
        <f aca="true" t="shared" si="0" ref="C4:C9">B4*0.1</f>
        <v>1.6500000000000001</v>
      </c>
      <c r="D4" s="22">
        <v>570</v>
      </c>
      <c r="E4" s="84">
        <f aca="true" t="shared" si="1" ref="E4:E13">D4/$D$14*$E$14</f>
        <v>3.068075601374571</v>
      </c>
      <c r="F4" s="84">
        <f aca="true" t="shared" si="2" ref="F4:F9">B4+E4+C4</f>
        <v>21.21807560137457</v>
      </c>
      <c r="G4" s="145">
        <f aca="true" t="shared" si="3" ref="G4:G9">F4*$G$1</f>
        <v>1385.9646982817867</v>
      </c>
      <c r="H4" s="119">
        <v>1386</v>
      </c>
      <c r="I4" s="146">
        <f aca="true" t="shared" si="4" ref="I4:I9">H4-G4</f>
        <v>0.03530171821330441</v>
      </c>
    </row>
    <row r="5" spans="1:9" s="15" customFormat="1" ht="15">
      <c r="A5" s="103" t="s">
        <v>730</v>
      </c>
      <c r="B5" s="22">
        <v>20.75</v>
      </c>
      <c r="C5" s="22">
        <f t="shared" si="0"/>
        <v>2.075</v>
      </c>
      <c r="D5" s="22">
        <v>910</v>
      </c>
      <c r="E5" s="84">
        <f t="shared" si="1"/>
        <v>4.898155784650631</v>
      </c>
      <c r="F5" s="84">
        <f>B5+E5+C5</f>
        <v>27.72315578465063</v>
      </c>
      <c r="G5" s="145">
        <f t="shared" si="3"/>
        <v>1810.876535853379</v>
      </c>
      <c r="H5" s="150">
        <v>1879</v>
      </c>
      <c r="I5" s="146">
        <f>H5-G5</f>
        <v>68.12346414662102</v>
      </c>
    </row>
    <row r="6" spans="1:10" s="15" customFormat="1" ht="15">
      <c r="A6" s="103" t="s">
        <v>1037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2.9604238258877436</v>
      </c>
      <c r="F6" s="84">
        <f t="shared" si="2"/>
        <v>11.188423825887744</v>
      </c>
      <c r="G6" s="145">
        <f t="shared" si="3"/>
        <v>730.8278443069873</v>
      </c>
      <c r="H6" s="119">
        <f>911-180</f>
        <v>731</v>
      </c>
      <c r="I6" s="146">
        <f t="shared" si="4"/>
        <v>0.17215569301265532</v>
      </c>
      <c r="J6" s="15" t="s">
        <v>1053</v>
      </c>
    </row>
    <row r="7" spans="1:9" s="8" customFormat="1" ht="15">
      <c r="A7" s="104" t="s">
        <v>780</v>
      </c>
      <c r="B7" s="22">
        <v>9.92</v>
      </c>
      <c r="C7" s="22">
        <f t="shared" si="0"/>
        <v>0.992</v>
      </c>
      <c r="D7" s="22">
        <v>180</v>
      </c>
      <c r="E7" s="84">
        <f t="shared" si="1"/>
        <v>0.9688659793814434</v>
      </c>
      <c r="F7" s="84">
        <f t="shared" si="2"/>
        <v>11.880865979381444</v>
      </c>
      <c r="G7" s="145">
        <f t="shared" si="3"/>
        <v>776.0581657731958</v>
      </c>
      <c r="H7" s="119">
        <v>783</v>
      </c>
      <c r="I7" s="146">
        <f t="shared" si="4"/>
        <v>6.94183422680419</v>
      </c>
    </row>
    <row r="8" spans="1:9" s="15" customFormat="1" ht="15">
      <c r="A8" s="103" t="s">
        <v>127</v>
      </c>
      <c r="B8" s="22">
        <v>7.3</v>
      </c>
      <c r="C8" s="22">
        <f t="shared" si="0"/>
        <v>0.73</v>
      </c>
      <c r="D8" s="22">
        <v>270</v>
      </c>
      <c r="E8" s="84">
        <f t="shared" si="1"/>
        <v>1.4532989690721652</v>
      </c>
      <c r="F8" s="84">
        <f t="shared" si="2"/>
        <v>9.483298969072166</v>
      </c>
      <c r="G8" s="145">
        <f t="shared" si="3"/>
        <v>619.4490886597938</v>
      </c>
      <c r="H8" s="119">
        <v>610</v>
      </c>
      <c r="I8" s="146">
        <f t="shared" si="4"/>
        <v>-9.449088659793802</v>
      </c>
    </row>
    <row r="9" spans="1:9" s="15" customFormat="1" ht="15">
      <c r="A9" s="103" t="s">
        <v>1030</v>
      </c>
      <c r="B9" s="22">
        <v>23.17</v>
      </c>
      <c r="C9" s="22">
        <f t="shared" si="0"/>
        <v>2.317</v>
      </c>
      <c r="D9" s="22">
        <v>85</v>
      </c>
      <c r="E9" s="84">
        <f t="shared" si="1"/>
        <v>0.4575200458190149</v>
      </c>
      <c r="F9" s="84">
        <f t="shared" si="2"/>
        <v>25.944520045819015</v>
      </c>
      <c r="G9" s="145">
        <f t="shared" si="3"/>
        <v>1694.696049392898</v>
      </c>
      <c r="H9" s="160">
        <v>1692</v>
      </c>
      <c r="I9" s="146">
        <f t="shared" si="4"/>
        <v>-2.696049392897976</v>
      </c>
    </row>
    <row r="10" spans="1:9" s="15" customFormat="1" ht="15">
      <c r="A10" s="103" t="s">
        <v>694</v>
      </c>
      <c r="B10" s="22">
        <v>25.24</v>
      </c>
      <c r="C10" s="22">
        <f>B10*0.1</f>
        <v>2.524</v>
      </c>
      <c r="D10" s="22">
        <v>475</v>
      </c>
      <c r="E10" s="84">
        <f t="shared" si="1"/>
        <v>2.5567296678121423</v>
      </c>
      <c r="F10" s="84">
        <f>B10+E10+C10</f>
        <v>30.32072966781214</v>
      </c>
      <c r="G10" s="145">
        <f>F10*$G$1</f>
        <v>1980.5500619014888</v>
      </c>
      <c r="H10" s="119">
        <v>1970</v>
      </c>
      <c r="I10" s="146">
        <f>H10-G10</f>
        <v>-10.550061901488789</v>
      </c>
    </row>
    <row r="11" spans="1:9" s="15" customFormat="1" ht="15">
      <c r="A11" s="103" t="s">
        <v>1038</v>
      </c>
      <c r="B11" s="22">
        <v>34.25</v>
      </c>
      <c r="C11" s="22">
        <f>B11*0.1</f>
        <v>3.4250000000000003</v>
      </c>
      <c r="D11" s="22">
        <v>1250</v>
      </c>
      <c r="E11" s="84">
        <f t="shared" si="1"/>
        <v>6.72823596792669</v>
      </c>
      <c r="F11" s="84">
        <f>B11+E11+C11</f>
        <v>44.40323596792669</v>
      </c>
      <c r="G11" s="145">
        <f>F11*$G$1</f>
        <v>2900.419373424971</v>
      </c>
      <c r="H11" s="132">
        <f>1000+1876+24</f>
        <v>2900</v>
      </c>
      <c r="I11" s="146">
        <f>H11-G11</f>
        <v>-0.41937342497112695</v>
      </c>
    </row>
    <row r="12" spans="1:9" s="15" customFormat="1" ht="15">
      <c r="A12" s="103" t="s">
        <v>1039</v>
      </c>
      <c r="B12" s="22">
        <v>8.66</v>
      </c>
      <c r="C12" s="22">
        <f>B12*0.1</f>
        <v>0.8660000000000001</v>
      </c>
      <c r="D12" s="22">
        <v>250</v>
      </c>
      <c r="E12" s="84">
        <f t="shared" si="1"/>
        <v>1.345647193585338</v>
      </c>
      <c r="F12" s="84">
        <f>B12+E12+C12</f>
        <v>10.871647193585337</v>
      </c>
      <c r="G12" s="145">
        <f>F12*$G$1</f>
        <v>710.1359946849942</v>
      </c>
      <c r="H12" s="119">
        <v>711</v>
      </c>
      <c r="I12" s="146">
        <f>H12-G12</f>
        <v>0.8640053150057838</v>
      </c>
    </row>
    <row r="13" spans="1:10" s="8" customFormat="1" ht="15">
      <c r="A13" s="103" t="s">
        <v>224</v>
      </c>
      <c r="B13" s="85"/>
      <c r="C13" s="85"/>
      <c r="D13" s="22">
        <v>4190</v>
      </c>
      <c r="E13" s="84">
        <f t="shared" si="1"/>
        <v>22.553046964490264</v>
      </c>
      <c r="F13" s="85"/>
      <c r="G13" s="28"/>
      <c r="H13" s="156"/>
      <c r="I13" s="28"/>
      <c r="J13" s="32"/>
    </row>
    <row r="14" spans="1:9" s="8" customFormat="1" ht="15">
      <c r="A14" s="25"/>
      <c r="B14" s="86"/>
      <c r="C14" s="86"/>
      <c r="D14" s="86">
        <f>SUM(D4:D13)</f>
        <v>8730</v>
      </c>
      <c r="E14" s="1">
        <v>46.99</v>
      </c>
      <c r="F14" s="113"/>
      <c r="G14" s="28"/>
      <c r="H14" s="28"/>
      <c r="I14" s="28"/>
    </row>
    <row r="19" ht="28.5">
      <c r="A19" s="107" t="s">
        <v>889</v>
      </c>
    </row>
    <row r="20" ht="28.5">
      <c r="A20" s="107" t="s">
        <v>1035</v>
      </c>
    </row>
  </sheetData>
  <sheetProtection/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6">
      <selection activeCell="H11" sqref="H11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42745</v>
      </c>
      <c r="C1" s="10"/>
      <c r="D1" s="10"/>
      <c r="E1" s="10"/>
      <c r="F1" s="11" t="s">
        <v>206</v>
      </c>
      <c r="G1" s="106">
        <v>64.8</v>
      </c>
      <c r="H1" s="8" t="s">
        <v>207</v>
      </c>
      <c r="J1" s="154"/>
    </row>
    <row r="2" s="8" customFormat="1" ht="15">
      <c r="A2" s="33" t="s">
        <v>1042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418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9">D4/$D$20*$E$20</f>
        <v>2.7935050798258345</v>
      </c>
      <c r="F4" s="84">
        <f aca="true" t="shared" si="2" ref="F4:F9">B4+E4+C4</f>
        <v>75.66850507982583</v>
      </c>
      <c r="G4" s="145">
        <f aca="true" t="shared" si="3" ref="G4:G9">F4*$G$1</f>
        <v>4903.3191291727135</v>
      </c>
      <c r="H4" s="132">
        <v>4869</v>
      </c>
      <c r="I4" s="146">
        <f aca="true" t="shared" si="4" ref="I4:I9">H4-G4</f>
        <v>-34.319129172713474</v>
      </c>
    </row>
    <row r="5" spans="1:9" s="15" customFormat="1" ht="15">
      <c r="A5" s="103" t="s">
        <v>825</v>
      </c>
      <c r="B5" s="22">
        <v>8.44</v>
      </c>
      <c r="C5" s="22">
        <f t="shared" si="0"/>
        <v>0.844</v>
      </c>
      <c r="D5" s="22">
        <v>80</v>
      </c>
      <c r="E5" s="84">
        <f t="shared" si="1"/>
        <v>0.40632801161103044</v>
      </c>
      <c r="F5" s="84">
        <f>B5+E5+C5</f>
        <v>9.69032801161103</v>
      </c>
      <c r="G5" s="145">
        <f t="shared" si="3"/>
        <v>627.9332551523947</v>
      </c>
      <c r="H5" s="132">
        <f>585+10</f>
        <v>595</v>
      </c>
      <c r="I5" s="146">
        <f>H5-G5</f>
        <v>-32.933255152394736</v>
      </c>
    </row>
    <row r="6" spans="1:9" s="15" customFormat="1" ht="15">
      <c r="A6" s="103" t="s">
        <v>74</v>
      </c>
      <c r="B6" s="22">
        <v>6.93</v>
      </c>
      <c r="C6" s="22">
        <f t="shared" si="0"/>
        <v>0.6930000000000001</v>
      </c>
      <c r="D6" s="22">
        <v>1150</v>
      </c>
      <c r="E6" s="84">
        <f t="shared" si="1"/>
        <v>5.840965166908563</v>
      </c>
      <c r="F6" s="84">
        <f t="shared" si="2"/>
        <v>13.463965166908563</v>
      </c>
      <c r="G6" s="145">
        <f t="shared" si="3"/>
        <v>872.4649428156748</v>
      </c>
      <c r="H6" s="132">
        <v>859</v>
      </c>
      <c r="I6" s="146">
        <f t="shared" si="4"/>
        <v>-13.464942815674817</v>
      </c>
    </row>
    <row r="7" spans="1:9" s="8" customFormat="1" ht="15">
      <c r="A7" s="104" t="s">
        <v>95</v>
      </c>
      <c r="B7" s="22">
        <v>24.92</v>
      </c>
      <c r="C7" s="22">
        <f t="shared" si="0"/>
        <v>2.4920000000000004</v>
      </c>
      <c r="D7" s="22">
        <v>110</v>
      </c>
      <c r="E7" s="84">
        <f t="shared" si="1"/>
        <v>0.5587010159651669</v>
      </c>
      <c r="F7" s="84">
        <f t="shared" si="2"/>
        <v>27.97070101596517</v>
      </c>
      <c r="G7" s="145">
        <f t="shared" si="3"/>
        <v>1812.501425834543</v>
      </c>
      <c r="H7" s="132">
        <f>1799+14</f>
        <v>1813</v>
      </c>
      <c r="I7" s="146">
        <f t="shared" si="4"/>
        <v>0.49857416545705746</v>
      </c>
    </row>
    <row r="8" spans="1:9" s="15" customFormat="1" ht="15">
      <c r="A8" s="103" t="s">
        <v>1044</v>
      </c>
      <c r="B8" s="22">
        <v>3.25</v>
      </c>
      <c r="C8" s="22">
        <f t="shared" si="0"/>
        <v>0.325</v>
      </c>
      <c r="D8" s="22">
        <v>70</v>
      </c>
      <c r="E8" s="84">
        <f t="shared" si="1"/>
        <v>0.3555370101596516</v>
      </c>
      <c r="F8" s="84">
        <f t="shared" si="2"/>
        <v>3.930537010159652</v>
      </c>
      <c r="G8" s="145">
        <f t="shared" si="3"/>
        <v>254.69879825834545</v>
      </c>
      <c r="H8" s="132">
        <v>254</v>
      </c>
      <c r="I8" s="146">
        <f t="shared" si="4"/>
        <v>-0.6987982583454482</v>
      </c>
    </row>
    <row r="9" spans="1:9" s="15" customFormat="1" ht="15">
      <c r="A9" s="103" t="s">
        <v>796</v>
      </c>
      <c r="B9" s="22">
        <v>12.92</v>
      </c>
      <c r="C9" s="22">
        <f t="shared" si="0"/>
        <v>1.292</v>
      </c>
      <c r="D9" s="22">
        <v>70</v>
      </c>
      <c r="E9" s="84">
        <f t="shared" si="1"/>
        <v>0.3555370101596516</v>
      </c>
      <c r="F9" s="84">
        <f t="shared" si="2"/>
        <v>14.56753701015965</v>
      </c>
      <c r="G9" s="145">
        <f t="shared" si="3"/>
        <v>943.9763982583453</v>
      </c>
      <c r="H9" s="132">
        <f>888+5</f>
        <v>893</v>
      </c>
      <c r="I9" s="146">
        <f t="shared" si="4"/>
        <v>-50.976398258345284</v>
      </c>
    </row>
    <row r="10" spans="1:9" s="15" customFormat="1" ht="15">
      <c r="A10" s="103" t="s">
        <v>625</v>
      </c>
      <c r="B10" s="22">
        <v>12.42</v>
      </c>
      <c r="C10" s="22">
        <f aca="true" t="shared" si="5" ref="C10:C18">B10*0.1</f>
        <v>1.242</v>
      </c>
      <c r="D10" s="22">
        <v>670</v>
      </c>
      <c r="E10" s="84">
        <f t="shared" si="1"/>
        <v>3.40299709724238</v>
      </c>
      <c r="F10" s="84">
        <f aca="true" t="shared" si="6" ref="F10:F18">B10+E10+C10</f>
        <v>17.06499709724238</v>
      </c>
      <c r="G10" s="145">
        <f aca="true" t="shared" si="7" ref="G10:G18">F10*$G$1</f>
        <v>1105.811811901306</v>
      </c>
      <c r="H10" s="132">
        <v>1097</v>
      </c>
      <c r="I10" s="146">
        <f aca="true" t="shared" si="8" ref="I10:I18">H10-G10</f>
        <v>-8.8118119013061</v>
      </c>
    </row>
    <row r="11" spans="1:9" s="15" customFormat="1" ht="15">
      <c r="A11" s="103" t="s">
        <v>579</v>
      </c>
      <c r="B11" s="22">
        <v>10.75</v>
      </c>
      <c r="C11" s="22">
        <f t="shared" si="5"/>
        <v>1.075</v>
      </c>
      <c r="D11" s="22">
        <v>25</v>
      </c>
      <c r="E11" s="84">
        <f t="shared" si="1"/>
        <v>0.126977503628447</v>
      </c>
      <c r="F11" s="84">
        <f t="shared" si="6"/>
        <v>11.951977503628447</v>
      </c>
      <c r="G11" s="145">
        <f t="shared" si="7"/>
        <v>774.4881422351233</v>
      </c>
      <c r="H11" s="132">
        <v>771</v>
      </c>
      <c r="I11" s="146">
        <f t="shared" si="8"/>
        <v>-3.4881422351232914</v>
      </c>
    </row>
    <row r="12" spans="1:9" s="15" customFormat="1" ht="15">
      <c r="A12" s="103" t="s">
        <v>1045</v>
      </c>
      <c r="B12" s="22">
        <v>18.58</v>
      </c>
      <c r="C12" s="22">
        <f t="shared" si="5"/>
        <v>1.8579999999999999</v>
      </c>
      <c r="D12" s="22">
        <v>360</v>
      </c>
      <c r="E12" s="84">
        <f>D12/$D$20*$E$20</f>
        <v>1.828476052249637</v>
      </c>
      <c r="F12" s="84">
        <f t="shared" si="6"/>
        <v>22.266476052249637</v>
      </c>
      <c r="G12" s="145">
        <f t="shared" si="7"/>
        <v>1442.8676481857765</v>
      </c>
      <c r="H12" s="132">
        <v>1438</v>
      </c>
      <c r="I12" s="146">
        <f t="shared" si="8"/>
        <v>-4.867648185776488</v>
      </c>
    </row>
    <row r="13" spans="1:9" s="15" customFormat="1" ht="15">
      <c r="A13" s="103" t="s">
        <v>600</v>
      </c>
      <c r="B13" s="22">
        <v>92.25</v>
      </c>
      <c r="C13" s="22">
        <f t="shared" si="5"/>
        <v>9.225</v>
      </c>
      <c r="D13" s="22">
        <v>410</v>
      </c>
      <c r="E13" s="84">
        <f>D13/$D$20*$E$20</f>
        <v>2.082431059506531</v>
      </c>
      <c r="F13" s="84">
        <f t="shared" si="6"/>
        <v>103.55743105950653</v>
      </c>
      <c r="G13" s="145">
        <f t="shared" si="7"/>
        <v>6710.521532656023</v>
      </c>
      <c r="H13" s="132">
        <v>6669</v>
      </c>
      <c r="I13" s="146">
        <f t="shared" si="8"/>
        <v>-41.52153265602283</v>
      </c>
    </row>
    <row r="14" spans="1:9" s="15" customFormat="1" ht="15">
      <c r="A14" s="103" t="s">
        <v>1046</v>
      </c>
      <c r="B14" s="22">
        <v>6.68</v>
      </c>
      <c r="C14" s="22">
        <f t="shared" si="5"/>
        <v>0.668</v>
      </c>
      <c r="D14" s="22">
        <v>595</v>
      </c>
      <c r="E14" s="84">
        <f>D14/$D$20*$E$20</f>
        <v>3.0220645863570392</v>
      </c>
      <c r="F14" s="84">
        <f t="shared" si="6"/>
        <v>10.370064586357039</v>
      </c>
      <c r="G14" s="145">
        <f t="shared" si="7"/>
        <v>671.9801851959361</v>
      </c>
      <c r="H14" s="132">
        <v>667</v>
      </c>
      <c r="I14" s="146">
        <f t="shared" si="8"/>
        <v>-4.980185195936087</v>
      </c>
    </row>
    <row r="15" spans="1:9" s="15" customFormat="1" ht="15">
      <c r="A15" s="103" t="s">
        <v>1027</v>
      </c>
      <c r="B15" s="22">
        <v>14.49</v>
      </c>
      <c r="C15" s="22">
        <f t="shared" si="5"/>
        <v>1.449</v>
      </c>
      <c r="D15" s="22">
        <v>2395</v>
      </c>
      <c r="E15" s="84">
        <f>D15/$D$20*$E$20</f>
        <v>12.164444847605225</v>
      </c>
      <c r="F15" s="84">
        <f t="shared" si="6"/>
        <v>28.10344484760523</v>
      </c>
      <c r="G15" s="145">
        <f t="shared" si="7"/>
        <v>1821.1032261248188</v>
      </c>
      <c r="H15" s="132">
        <f>1816+5</f>
        <v>1821</v>
      </c>
      <c r="I15" s="146">
        <f t="shared" si="8"/>
        <v>-0.10322612481877513</v>
      </c>
    </row>
    <row r="16" spans="1:9" s="15" customFormat="1" ht="15">
      <c r="A16" s="103" t="s">
        <v>174</v>
      </c>
      <c r="B16" s="22">
        <v>28.53</v>
      </c>
      <c r="C16" s="22">
        <f t="shared" si="5"/>
        <v>2.853</v>
      </c>
      <c r="D16" s="22">
        <v>850</v>
      </c>
      <c r="E16" s="84">
        <f t="shared" si="1"/>
        <v>4.317235123367198</v>
      </c>
      <c r="F16" s="84">
        <f t="shared" si="6"/>
        <v>35.7002351233672</v>
      </c>
      <c r="G16" s="145">
        <f t="shared" si="7"/>
        <v>2313.3752359941946</v>
      </c>
      <c r="H16" s="132">
        <v>2305</v>
      </c>
      <c r="I16" s="146">
        <f t="shared" si="8"/>
        <v>-8.375235994194554</v>
      </c>
    </row>
    <row r="17" spans="1:9" s="15" customFormat="1" ht="15">
      <c r="A17" s="103" t="s">
        <v>127</v>
      </c>
      <c r="B17" s="22">
        <v>10.01</v>
      </c>
      <c r="C17" s="22">
        <f t="shared" si="5"/>
        <v>1.0010000000000001</v>
      </c>
      <c r="D17" s="22">
        <v>340</v>
      </c>
      <c r="E17" s="84">
        <f t="shared" si="1"/>
        <v>1.7268940493468794</v>
      </c>
      <c r="F17" s="84">
        <f t="shared" si="6"/>
        <v>12.73789404934688</v>
      </c>
      <c r="G17" s="145">
        <f t="shared" si="7"/>
        <v>825.4155343976778</v>
      </c>
      <c r="H17" s="119">
        <v>818</v>
      </c>
      <c r="I17" s="146">
        <f t="shared" si="8"/>
        <v>-7.4155343976777885</v>
      </c>
    </row>
    <row r="18" spans="1:9" s="15" customFormat="1" ht="15">
      <c r="A18" s="103" t="s">
        <v>1047</v>
      </c>
      <c r="B18" s="22">
        <v>37.3</v>
      </c>
      <c r="C18" s="22">
        <f t="shared" si="5"/>
        <v>3.73</v>
      </c>
      <c r="D18" s="22">
        <v>635</v>
      </c>
      <c r="E18" s="84">
        <f>D18/$D$20*$E$20</f>
        <v>3.225228592162554</v>
      </c>
      <c r="F18" s="84">
        <f t="shared" si="6"/>
        <v>44.255228592162545</v>
      </c>
      <c r="G18" s="145">
        <f t="shared" si="7"/>
        <v>2867.738812772133</v>
      </c>
      <c r="H18" s="132">
        <f>1000+1805</f>
        <v>2805</v>
      </c>
      <c r="I18" s="146">
        <f t="shared" si="8"/>
        <v>-62.73881277213286</v>
      </c>
    </row>
    <row r="19" spans="1:10" s="8" customFormat="1" ht="15">
      <c r="A19" s="103" t="s">
        <v>224</v>
      </c>
      <c r="B19" s="85"/>
      <c r="C19" s="85"/>
      <c r="D19" s="22">
        <v>5470</v>
      </c>
      <c r="E19" s="84">
        <f t="shared" si="1"/>
        <v>27.782677793904206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13780</v>
      </c>
      <c r="E20" s="1">
        <v>69.99</v>
      </c>
      <c r="F20" s="113"/>
      <c r="G20" s="28"/>
      <c r="H20" s="28"/>
      <c r="I20" s="28"/>
    </row>
    <row r="25" ht="28.5">
      <c r="A25" s="107" t="s">
        <v>889</v>
      </c>
    </row>
    <row r="26" ht="28.5">
      <c r="A26" s="107" t="s">
        <v>1043</v>
      </c>
    </row>
  </sheetData>
  <sheetProtection/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42753</v>
      </c>
      <c r="C1" s="10"/>
      <c r="D1" s="10"/>
      <c r="E1" s="10"/>
      <c r="F1" s="11" t="s">
        <v>206</v>
      </c>
      <c r="G1" s="106">
        <v>65.51</v>
      </c>
      <c r="H1" s="8" t="s">
        <v>207</v>
      </c>
      <c r="J1" s="154"/>
    </row>
    <row r="2" s="8" customFormat="1" ht="15">
      <c r="A2" s="33"/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1046</v>
      </c>
      <c r="B4" s="22">
        <v>5.93</v>
      </c>
      <c r="C4" s="22">
        <f aca="true" t="shared" si="0" ref="C4:C18">B4*0.1</f>
        <v>0.593</v>
      </c>
      <c r="D4" s="22">
        <v>565</v>
      </c>
      <c r="E4" s="84">
        <f aca="true" t="shared" si="1" ref="E4:E22">D4/$D$23*$E$23</f>
        <v>2.9119550810014725</v>
      </c>
      <c r="F4" s="84">
        <f aca="true" t="shared" si="2" ref="F4:F18">B4+E4+C4</f>
        <v>9.434955081001473</v>
      </c>
      <c r="G4" s="145">
        <f aca="true" t="shared" si="3" ref="G4:G18">F4*$G$1</f>
        <v>618.0839073564065</v>
      </c>
      <c r="H4" s="132">
        <f>608+15</f>
        <v>623</v>
      </c>
      <c r="I4" s="146">
        <f aca="true" t="shared" si="4" ref="I4:I18">H4-G4</f>
        <v>4.916092643593515</v>
      </c>
    </row>
    <row r="5" spans="1:9" s="15" customFormat="1" ht="15">
      <c r="A5" s="103" t="s">
        <v>75</v>
      </c>
      <c r="B5" s="22">
        <v>5.25</v>
      </c>
      <c r="C5" s="22">
        <f t="shared" si="0"/>
        <v>0.525</v>
      </c>
      <c r="D5" s="22">
        <v>30</v>
      </c>
      <c r="E5" s="84">
        <f t="shared" si="1"/>
        <v>0.15461708394698084</v>
      </c>
      <c r="F5" s="84">
        <f>B5+E5+C5</f>
        <v>5.929617083946981</v>
      </c>
      <c r="G5" s="145">
        <f t="shared" si="3"/>
        <v>388.44921516936677</v>
      </c>
      <c r="H5" s="132">
        <v>352</v>
      </c>
      <c r="I5" s="146">
        <f>H5-G5</f>
        <v>-36.44921516936677</v>
      </c>
    </row>
    <row r="6" spans="1:9" s="15" customFormat="1" ht="15">
      <c r="A6" s="103" t="s">
        <v>174</v>
      </c>
      <c r="B6" s="22">
        <v>5.75</v>
      </c>
      <c r="C6" s="22">
        <f t="shared" si="0"/>
        <v>0.5750000000000001</v>
      </c>
      <c r="D6" s="22">
        <v>90</v>
      </c>
      <c r="E6" s="84">
        <f t="shared" si="1"/>
        <v>0.4638512518409425</v>
      </c>
      <c r="F6" s="84">
        <f t="shared" si="2"/>
        <v>6.788851251840943</v>
      </c>
      <c r="G6" s="145">
        <f t="shared" si="3"/>
        <v>444.73764550810023</v>
      </c>
      <c r="H6" s="132">
        <f>442+13</f>
        <v>455</v>
      </c>
      <c r="I6" s="146">
        <f t="shared" si="4"/>
        <v>10.262354491899771</v>
      </c>
    </row>
    <row r="7" spans="1:10" s="8" customFormat="1" ht="15">
      <c r="A7" s="104" t="s">
        <v>597</v>
      </c>
      <c r="B7" s="22">
        <v>12.08</v>
      </c>
      <c r="C7" s="22">
        <f t="shared" si="0"/>
        <v>1.2080000000000002</v>
      </c>
      <c r="D7" s="22">
        <v>70</v>
      </c>
      <c r="E7" s="84">
        <f t="shared" si="1"/>
        <v>0.36077319587628864</v>
      </c>
      <c r="F7" s="84">
        <f t="shared" si="2"/>
        <v>13.64877319587629</v>
      </c>
      <c r="G7" s="145">
        <f t="shared" si="3"/>
        <v>894.1311320618559</v>
      </c>
      <c r="H7" s="132">
        <f>877+20</f>
        <v>897</v>
      </c>
      <c r="I7" s="146">
        <f t="shared" si="4"/>
        <v>2.868867938144149</v>
      </c>
      <c r="J7" s="8" t="s">
        <v>1085</v>
      </c>
    </row>
    <row r="8" spans="1:9" s="15" customFormat="1" ht="15">
      <c r="A8" s="103" t="s">
        <v>127</v>
      </c>
      <c r="B8" s="22">
        <v>14.92</v>
      </c>
      <c r="C8" s="22">
        <f t="shared" si="0"/>
        <v>1.492</v>
      </c>
      <c r="D8" s="22">
        <v>1120</v>
      </c>
      <c r="E8" s="84">
        <f t="shared" si="1"/>
        <v>5.772371134020618</v>
      </c>
      <c r="F8" s="84">
        <f t="shared" si="2"/>
        <v>22.18437113402062</v>
      </c>
      <c r="G8" s="145">
        <f t="shared" si="3"/>
        <v>1453.2981529896908</v>
      </c>
      <c r="H8" s="132">
        <f>1095</f>
        <v>1095</v>
      </c>
      <c r="I8" s="146">
        <f t="shared" si="4"/>
        <v>-358.29815298969083</v>
      </c>
    </row>
    <row r="9" spans="1:9" s="15" customFormat="1" ht="15">
      <c r="A9" s="103" t="s">
        <v>1055</v>
      </c>
      <c r="B9" s="22">
        <v>11.58</v>
      </c>
      <c r="C9" s="22">
        <f t="shared" si="0"/>
        <v>1.1580000000000001</v>
      </c>
      <c r="D9" s="22">
        <v>75</v>
      </c>
      <c r="E9" s="84">
        <f t="shared" si="1"/>
        <v>0.38654270986745215</v>
      </c>
      <c r="F9" s="84">
        <f t="shared" si="2"/>
        <v>13.124542709867452</v>
      </c>
      <c r="G9" s="145">
        <f t="shared" si="3"/>
        <v>859.7887929234168</v>
      </c>
      <c r="H9" s="132">
        <f>838+22</f>
        <v>860</v>
      </c>
      <c r="I9" s="146">
        <f t="shared" si="4"/>
        <v>0.2112070765831504</v>
      </c>
    </row>
    <row r="10" spans="1:9" s="15" customFormat="1" ht="15">
      <c r="A10" s="103" t="s">
        <v>585</v>
      </c>
      <c r="B10" s="22">
        <v>7.04</v>
      </c>
      <c r="C10" s="22">
        <f t="shared" si="0"/>
        <v>0.7040000000000001</v>
      </c>
      <c r="D10" s="22">
        <v>250</v>
      </c>
      <c r="E10" s="84">
        <f t="shared" si="1"/>
        <v>1.2884756995581736</v>
      </c>
      <c r="F10" s="84">
        <f t="shared" si="2"/>
        <v>9.032475699558175</v>
      </c>
      <c r="G10" s="145">
        <f t="shared" si="3"/>
        <v>591.717483078056</v>
      </c>
      <c r="H10" s="132">
        <v>654</v>
      </c>
      <c r="I10" s="146">
        <f t="shared" si="4"/>
        <v>62.282516921943966</v>
      </c>
    </row>
    <row r="11" spans="1:9" s="15" customFormat="1" ht="15">
      <c r="A11" s="103" t="s">
        <v>1056</v>
      </c>
      <c r="B11" s="22">
        <v>12.5</v>
      </c>
      <c r="C11" s="22">
        <f t="shared" si="0"/>
        <v>1.25</v>
      </c>
      <c r="D11" s="22">
        <v>170</v>
      </c>
      <c r="E11" s="84">
        <f t="shared" si="1"/>
        <v>0.8761634756995581</v>
      </c>
      <c r="F11" s="84">
        <f t="shared" si="2"/>
        <v>14.626163475699558</v>
      </c>
      <c r="G11" s="145">
        <f t="shared" si="3"/>
        <v>958.1599692930781</v>
      </c>
      <c r="H11" s="132">
        <f>941+17</f>
        <v>958</v>
      </c>
      <c r="I11" s="146">
        <f t="shared" si="4"/>
        <v>-0.15996929307812024</v>
      </c>
    </row>
    <row r="12" spans="1:9" s="15" customFormat="1" ht="15">
      <c r="A12" s="103" t="s">
        <v>1057</v>
      </c>
      <c r="B12" s="22">
        <v>4.6</v>
      </c>
      <c r="C12" s="22">
        <f t="shared" si="0"/>
        <v>0.45999999999999996</v>
      </c>
      <c r="D12" s="22">
        <v>550</v>
      </c>
      <c r="E12" s="84">
        <f>D12/$D$23*$E$23</f>
        <v>2.834646539027982</v>
      </c>
      <c r="F12" s="84">
        <f t="shared" si="2"/>
        <v>7.894646539027982</v>
      </c>
      <c r="G12" s="145">
        <f t="shared" si="3"/>
        <v>517.1782947717231</v>
      </c>
      <c r="H12" s="132">
        <f>513+4</f>
        <v>517</v>
      </c>
      <c r="I12" s="146">
        <f t="shared" si="4"/>
        <v>-0.1782947717231309</v>
      </c>
    </row>
    <row r="13" spans="1:9" s="15" customFormat="1" ht="15">
      <c r="A13" s="103" t="s">
        <v>1058</v>
      </c>
      <c r="B13" s="22">
        <v>17.86</v>
      </c>
      <c r="C13" s="22">
        <f t="shared" si="0"/>
        <v>1.786</v>
      </c>
      <c r="D13" s="22">
        <v>360</v>
      </c>
      <c r="E13" s="84">
        <f>D13/$D$23*$E$23</f>
        <v>1.85540500736377</v>
      </c>
      <c r="F13" s="84">
        <f t="shared" si="2"/>
        <v>21.501405007363772</v>
      </c>
      <c r="G13" s="145">
        <f t="shared" si="3"/>
        <v>1408.557042032401</v>
      </c>
      <c r="H13" s="132">
        <v>1389</v>
      </c>
      <c r="I13" s="146">
        <f t="shared" si="4"/>
        <v>-19.557042032400886</v>
      </c>
    </row>
    <row r="14" spans="1:9" s="15" customFormat="1" ht="15">
      <c r="A14" s="103" t="s">
        <v>1059</v>
      </c>
      <c r="B14" s="22">
        <v>8.93</v>
      </c>
      <c r="C14" s="22">
        <f t="shared" si="0"/>
        <v>0.893</v>
      </c>
      <c r="D14" s="22">
        <v>180</v>
      </c>
      <c r="E14" s="84">
        <f>D14/$D$23*$E$23</f>
        <v>0.927702503681885</v>
      </c>
      <c r="F14" s="84">
        <f t="shared" si="2"/>
        <v>10.750702503681886</v>
      </c>
      <c r="G14" s="145">
        <f t="shared" si="3"/>
        <v>704.2785210162004</v>
      </c>
      <c r="H14" s="132">
        <f>695+9</f>
        <v>704</v>
      </c>
      <c r="I14" s="146">
        <f t="shared" si="4"/>
        <v>-0.2785210162004432</v>
      </c>
    </row>
    <row r="15" spans="1:9" s="15" customFormat="1" ht="15">
      <c r="A15" s="103" t="s">
        <v>1060</v>
      </c>
      <c r="B15" s="22">
        <v>16.58</v>
      </c>
      <c r="C15" s="22">
        <f t="shared" si="0"/>
        <v>1.658</v>
      </c>
      <c r="D15" s="22">
        <v>560</v>
      </c>
      <c r="E15" s="84">
        <f>D15/$D$23*$E$23</f>
        <v>2.886185567010309</v>
      </c>
      <c r="F15" s="84">
        <f t="shared" si="2"/>
        <v>21.124185567010308</v>
      </c>
      <c r="G15" s="145">
        <f t="shared" si="3"/>
        <v>1383.8453964948453</v>
      </c>
      <c r="H15" s="132">
        <f>1363+21</f>
        <v>1384</v>
      </c>
      <c r="I15" s="146">
        <f t="shared" si="4"/>
        <v>0.15460350515468235</v>
      </c>
    </row>
    <row r="16" spans="1:9" s="15" customFormat="1" ht="15">
      <c r="A16" s="103" t="s">
        <v>824</v>
      </c>
      <c r="B16" s="22">
        <v>13.25</v>
      </c>
      <c r="C16" s="22">
        <f t="shared" si="0"/>
        <v>1.3250000000000002</v>
      </c>
      <c r="D16" s="22">
        <v>350</v>
      </c>
      <c r="E16" s="84">
        <f t="shared" si="1"/>
        <v>1.803865979381443</v>
      </c>
      <c r="F16" s="84">
        <f t="shared" si="2"/>
        <v>16.378865979381445</v>
      </c>
      <c r="G16" s="145">
        <f t="shared" si="3"/>
        <v>1072.9795103092786</v>
      </c>
      <c r="H16" s="132">
        <f>1065+15</f>
        <v>1080</v>
      </c>
      <c r="I16" s="146">
        <f t="shared" si="4"/>
        <v>7.020489690721433</v>
      </c>
    </row>
    <row r="17" spans="1:9" s="15" customFormat="1" ht="15">
      <c r="A17" s="103" t="s">
        <v>514</v>
      </c>
      <c r="B17" s="22">
        <v>14.08</v>
      </c>
      <c r="C17" s="22">
        <f t="shared" si="0"/>
        <v>1.4080000000000001</v>
      </c>
      <c r="D17" s="22">
        <v>65</v>
      </c>
      <c r="E17" s="84">
        <f t="shared" si="1"/>
        <v>0.3350036818851252</v>
      </c>
      <c r="F17" s="84">
        <f t="shared" si="2"/>
        <v>15.823003681885124</v>
      </c>
      <c r="G17" s="145">
        <f t="shared" si="3"/>
        <v>1036.5649712002946</v>
      </c>
      <c r="H17" s="119">
        <v>1009</v>
      </c>
      <c r="I17" s="146">
        <f t="shared" si="4"/>
        <v>-27.56497120029462</v>
      </c>
    </row>
    <row r="18" spans="1:9" s="15" customFormat="1" ht="15">
      <c r="A18" s="103" t="s">
        <v>662</v>
      </c>
      <c r="B18" s="22">
        <v>34.74</v>
      </c>
      <c r="C18" s="22">
        <f t="shared" si="0"/>
        <v>3.474</v>
      </c>
      <c r="D18" s="22">
        <v>810</v>
      </c>
      <c r="E18" s="84">
        <f>D18/$D$23*$E$23</f>
        <v>4.174661266568483</v>
      </c>
      <c r="F18" s="84">
        <f t="shared" si="2"/>
        <v>42.38866126656849</v>
      </c>
      <c r="G18" s="145">
        <f t="shared" si="3"/>
        <v>2776.881199572902</v>
      </c>
      <c r="H18" s="132">
        <v>2965</v>
      </c>
      <c r="I18" s="146">
        <f t="shared" si="4"/>
        <v>188.118800427098</v>
      </c>
    </row>
    <row r="19" spans="1:9" s="15" customFormat="1" ht="15">
      <c r="A19" s="103" t="s">
        <v>1030</v>
      </c>
      <c r="B19" s="22">
        <v>24.55</v>
      </c>
      <c r="C19" s="22">
        <f>B19*0.1</f>
        <v>2.455</v>
      </c>
      <c r="D19" s="22">
        <v>385</v>
      </c>
      <c r="E19" s="84">
        <f>D19/$D$23*$E$23</f>
        <v>1.9842525773195874</v>
      </c>
      <c r="F19" s="84">
        <f>B19+E19+C19</f>
        <v>28.98925257731959</v>
      </c>
      <c r="G19" s="145">
        <f>F19*$G$1</f>
        <v>1899.0859363402064</v>
      </c>
      <c r="H19" s="132">
        <v>1823</v>
      </c>
      <c r="I19" s="146">
        <f>H19-G19</f>
        <v>-76.08593634020644</v>
      </c>
    </row>
    <row r="20" spans="1:9" s="15" customFormat="1" ht="15">
      <c r="A20" s="103" t="s">
        <v>953</v>
      </c>
      <c r="B20" s="22">
        <v>65.08</v>
      </c>
      <c r="C20" s="22">
        <f>B20*0.1</f>
        <v>6.508</v>
      </c>
      <c r="D20" s="22">
        <v>1155</v>
      </c>
      <c r="E20" s="84">
        <f>D20/$D$23*$E$23</f>
        <v>5.952757731958763</v>
      </c>
      <c r="F20" s="84">
        <f>B20+E20+C20</f>
        <v>77.54075773195876</v>
      </c>
      <c r="G20" s="145">
        <f>F20*$G$1</f>
        <v>5079.695039020619</v>
      </c>
      <c r="H20" s="119">
        <f>5004+76</f>
        <v>5080</v>
      </c>
      <c r="I20" s="146">
        <f>H20-G20</f>
        <v>0.3049609793806667</v>
      </c>
    </row>
    <row r="21" spans="1:9" s="15" customFormat="1" ht="15">
      <c r="A21" s="103" t="s">
        <v>715</v>
      </c>
      <c r="B21" s="22">
        <v>63.01</v>
      </c>
      <c r="C21" s="22">
        <f>B21*0.1</f>
        <v>6.301</v>
      </c>
      <c r="D21" s="22">
        <v>675</v>
      </c>
      <c r="E21" s="84">
        <f>D21/$D$23*$E$23</f>
        <v>3.4788843888070686</v>
      </c>
      <c r="F21" s="84">
        <f>B21+E21+C21</f>
        <v>72.78988438880707</v>
      </c>
      <c r="G21" s="145">
        <f>F21*$G$1</f>
        <v>4768.465326310751</v>
      </c>
      <c r="H21" s="132">
        <v>4696</v>
      </c>
      <c r="I21" s="146">
        <f>H21-G21</f>
        <v>-72.46532631075115</v>
      </c>
    </row>
    <row r="22" spans="1:10" s="8" customFormat="1" ht="15">
      <c r="A22" s="103" t="s">
        <v>224</v>
      </c>
      <c r="B22" s="85"/>
      <c r="C22" s="85"/>
      <c r="D22" s="22">
        <v>6120</v>
      </c>
      <c r="E22" s="84">
        <f t="shared" si="1"/>
        <v>31.54188512518409</v>
      </c>
      <c r="F22" s="85"/>
      <c r="G22" s="28"/>
      <c r="H22" s="156"/>
      <c r="I22" s="28"/>
      <c r="J22" s="32"/>
    </row>
    <row r="23" spans="1:9" s="8" customFormat="1" ht="15">
      <c r="A23" s="25"/>
      <c r="B23" s="86"/>
      <c r="C23" s="86"/>
      <c r="D23" s="86">
        <f>SUM(D4:D22)</f>
        <v>13580</v>
      </c>
      <c r="E23" s="1">
        <v>69.99</v>
      </c>
      <c r="F23" s="113"/>
      <c r="G23" s="28"/>
      <c r="H23" s="28"/>
      <c r="I23" s="28"/>
    </row>
    <row r="28" ht="28.5">
      <c r="A28" s="107" t="s">
        <v>889</v>
      </c>
    </row>
    <row r="29" ht="28.5">
      <c r="A29" s="107" t="s">
        <v>1054</v>
      </c>
    </row>
  </sheetData>
  <sheetProtection/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D35" sqref="D35"/>
    </sheetView>
  </sheetViews>
  <sheetFormatPr defaultColWidth="9.140625" defaultRowHeight="15"/>
  <cols>
    <col min="1" max="1" width="18.42187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42761</v>
      </c>
      <c r="C1" s="10"/>
      <c r="D1" s="10"/>
      <c r="E1" s="10"/>
      <c r="F1" s="11" t="s">
        <v>206</v>
      </c>
      <c r="G1" s="106">
        <v>66.314</v>
      </c>
      <c r="H1" s="8" t="s">
        <v>207</v>
      </c>
      <c r="J1" s="154"/>
    </row>
    <row r="2" s="8" customFormat="1" ht="15">
      <c r="A2" s="33" t="s">
        <v>1065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418</v>
      </c>
      <c r="B4" s="22">
        <v>66.25</v>
      </c>
      <c r="C4" s="22">
        <f aca="true" t="shared" si="0" ref="C4:C15">B4*0.1</f>
        <v>6.625</v>
      </c>
      <c r="D4" s="22">
        <v>550</v>
      </c>
      <c r="E4" s="84">
        <f aca="true" t="shared" si="1" ref="E4:E16">D4/$D$17*$E$17</f>
        <v>2.8170142700329306</v>
      </c>
      <c r="F4" s="84">
        <f aca="true" t="shared" si="2" ref="F4:F15">B4+E4+C4</f>
        <v>75.69201427003293</v>
      </c>
      <c r="G4" s="145">
        <f aca="true" t="shared" si="3" ref="G4:G15">F4*$G$1</f>
        <v>5019.440234302963</v>
      </c>
      <c r="H4" s="119">
        <v>4924</v>
      </c>
      <c r="I4" s="146">
        <f aca="true" t="shared" si="4" ref="I4:I15">H4-G4</f>
        <v>-95.44023430296329</v>
      </c>
    </row>
    <row r="5" spans="1:9" s="15" customFormat="1" ht="15">
      <c r="A5" s="103" t="s">
        <v>1066</v>
      </c>
      <c r="B5" s="22">
        <v>6.25</v>
      </c>
      <c r="C5" s="22">
        <f t="shared" si="0"/>
        <v>0.625</v>
      </c>
      <c r="D5" s="22">
        <v>80</v>
      </c>
      <c r="E5" s="84">
        <f t="shared" si="1"/>
        <v>0.4097475301866081</v>
      </c>
      <c r="F5" s="84">
        <f>B5+E5+C5</f>
        <v>7.284747530186608</v>
      </c>
      <c r="G5" s="145">
        <f t="shared" si="3"/>
        <v>483.08074771679463</v>
      </c>
      <c r="H5" s="132">
        <v>472</v>
      </c>
      <c r="I5" s="146">
        <f>H5-G5</f>
        <v>-11.080747716794633</v>
      </c>
    </row>
    <row r="6" spans="1:9" s="15" customFormat="1" ht="15">
      <c r="A6" s="103" t="s">
        <v>1067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2.8170142700329306</v>
      </c>
      <c r="F6" s="84">
        <f t="shared" si="2"/>
        <v>11.045014270032931</v>
      </c>
      <c r="G6" s="145">
        <f t="shared" si="3"/>
        <v>732.4390763029637</v>
      </c>
      <c r="H6" s="132">
        <f>717+15</f>
        <v>732</v>
      </c>
      <c r="I6" s="146">
        <f t="shared" si="4"/>
        <v>-0.4390763029637128</v>
      </c>
    </row>
    <row r="7" spans="1:9" s="8" customFormat="1" ht="15">
      <c r="A7" s="104" t="s">
        <v>490</v>
      </c>
      <c r="B7" s="22">
        <v>11.58</v>
      </c>
      <c r="C7" s="22">
        <f t="shared" si="0"/>
        <v>1.1580000000000001</v>
      </c>
      <c r="D7" s="22">
        <v>465</v>
      </c>
      <c r="E7" s="84">
        <f t="shared" si="1"/>
        <v>2.3816575192096594</v>
      </c>
      <c r="F7" s="84">
        <f t="shared" si="2"/>
        <v>15.119657519209659</v>
      </c>
      <c r="G7" s="145">
        <f t="shared" si="3"/>
        <v>1002.6449687288692</v>
      </c>
      <c r="H7" s="119">
        <f>976+27</f>
        <v>1003</v>
      </c>
      <c r="I7" s="146">
        <f t="shared" si="4"/>
        <v>0.3550312711307697</v>
      </c>
    </row>
    <row r="8" spans="1:9" s="15" customFormat="1" ht="15">
      <c r="A8" s="103" t="s">
        <v>780</v>
      </c>
      <c r="B8" s="22">
        <v>8.93</v>
      </c>
      <c r="C8" s="22">
        <f t="shared" si="0"/>
        <v>0.893</v>
      </c>
      <c r="D8" s="22">
        <v>105</v>
      </c>
      <c r="E8" s="84">
        <f t="shared" si="1"/>
        <v>0.5377936333699231</v>
      </c>
      <c r="F8" s="84">
        <f t="shared" si="2"/>
        <v>10.360793633369923</v>
      </c>
      <c r="G8" s="145">
        <f t="shared" si="3"/>
        <v>687.065669003293</v>
      </c>
      <c r="H8" s="119">
        <f>662+19</f>
        <v>681</v>
      </c>
      <c r="I8" s="146">
        <f t="shared" si="4"/>
        <v>-6.06566900329301</v>
      </c>
    </row>
    <row r="9" spans="1:9" s="15" customFormat="1" ht="15">
      <c r="A9" s="103" t="s">
        <v>1068</v>
      </c>
      <c r="B9" s="22">
        <v>9.92</v>
      </c>
      <c r="C9" s="22">
        <f t="shared" si="0"/>
        <v>0.992</v>
      </c>
      <c r="D9" s="22">
        <v>180</v>
      </c>
      <c r="E9" s="84">
        <f t="shared" si="1"/>
        <v>0.9219319429198681</v>
      </c>
      <c r="F9" s="84">
        <f t="shared" si="2"/>
        <v>11.833931942919868</v>
      </c>
      <c r="G9" s="145">
        <f t="shared" si="3"/>
        <v>784.755362862788</v>
      </c>
      <c r="H9" s="119">
        <f>766+19</f>
        <v>785</v>
      </c>
      <c r="I9" s="146">
        <f t="shared" si="4"/>
        <v>0.2446371372119529</v>
      </c>
    </row>
    <row r="10" spans="1:9" s="15" customFormat="1" ht="15">
      <c r="A10" s="103" t="s">
        <v>514</v>
      </c>
      <c r="B10" s="22">
        <v>12.16</v>
      </c>
      <c r="C10" s="22">
        <f t="shared" si="0"/>
        <v>1.2160000000000002</v>
      </c>
      <c r="D10" s="22">
        <v>220</v>
      </c>
      <c r="E10" s="84">
        <f t="shared" si="1"/>
        <v>1.1268057080131724</v>
      </c>
      <c r="F10" s="84">
        <f t="shared" si="2"/>
        <v>14.502805708013174</v>
      </c>
      <c r="G10" s="145">
        <f t="shared" si="3"/>
        <v>961.7390577211855</v>
      </c>
      <c r="H10" s="119">
        <f>935+43</f>
        <v>978</v>
      </c>
      <c r="I10" s="146">
        <f t="shared" si="4"/>
        <v>16.26094227881447</v>
      </c>
    </row>
    <row r="11" spans="1:9" s="15" customFormat="1" ht="15">
      <c r="A11" s="103" t="s">
        <v>174</v>
      </c>
      <c r="B11" s="22">
        <v>14.92</v>
      </c>
      <c r="C11" s="22">
        <f t="shared" si="0"/>
        <v>1.492</v>
      </c>
      <c r="D11" s="22">
        <v>1150</v>
      </c>
      <c r="E11" s="84">
        <f t="shared" si="1"/>
        <v>5.890120746432491</v>
      </c>
      <c r="F11" s="84">
        <f t="shared" si="2"/>
        <v>22.302120746432493</v>
      </c>
      <c r="G11" s="145">
        <f t="shared" si="3"/>
        <v>1478.9428351789243</v>
      </c>
      <c r="H11" s="132">
        <v>1500</v>
      </c>
      <c r="I11" s="146">
        <f t="shared" si="4"/>
        <v>21.05716482107573</v>
      </c>
    </row>
    <row r="12" spans="1:9" s="15" customFormat="1" ht="15">
      <c r="A12" s="103" t="s">
        <v>1060</v>
      </c>
      <c r="B12" s="22">
        <v>17</v>
      </c>
      <c r="C12" s="22">
        <f t="shared" si="0"/>
        <v>1.7000000000000002</v>
      </c>
      <c r="D12" s="22">
        <v>1420</v>
      </c>
      <c r="E12" s="84">
        <f t="shared" si="1"/>
        <v>7.273018660812293</v>
      </c>
      <c r="F12" s="84">
        <f t="shared" si="2"/>
        <v>25.973018660812293</v>
      </c>
      <c r="G12" s="145">
        <f t="shared" si="3"/>
        <v>1722.3747594731062</v>
      </c>
      <c r="H12" s="119">
        <f>1661+61</f>
        <v>1722</v>
      </c>
      <c r="I12" s="146">
        <f t="shared" si="4"/>
        <v>-0.3747594731062236</v>
      </c>
    </row>
    <row r="13" spans="1:9" s="15" customFormat="1" ht="15">
      <c r="A13" s="103" t="s">
        <v>1069</v>
      </c>
      <c r="B13" s="22">
        <v>11.92</v>
      </c>
      <c r="C13" s="22">
        <f t="shared" si="0"/>
        <v>1.192</v>
      </c>
      <c r="D13" s="22">
        <v>415</v>
      </c>
      <c r="E13" s="84">
        <f t="shared" si="1"/>
        <v>2.1255653128430296</v>
      </c>
      <c r="F13" s="84">
        <f t="shared" si="2"/>
        <v>15.23756531284303</v>
      </c>
      <c r="G13" s="145">
        <f t="shared" si="3"/>
        <v>1010.4639061558726</v>
      </c>
      <c r="H13" s="132">
        <f>998+12</f>
        <v>1010</v>
      </c>
      <c r="I13" s="146">
        <f t="shared" si="4"/>
        <v>-0.46390615587256434</v>
      </c>
    </row>
    <row r="14" spans="1:9" s="15" customFormat="1" ht="15">
      <c r="A14" s="103" t="s">
        <v>127</v>
      </c>
      <c r="B14" s="22">
        <v>13.93</v>
      </c>
      <c r="C14" s="22">
        <f t="shared" si="0"/>
        <v>1.393</v>
      </c>
      <c r="D14" s="22">
        <v>520</v>
      </c>
      <c r="E14" s="84">
        <f t="shared" si="1"/>
        <v>2.6633589462129525</v>
      </c>
      <c r="F14" s="84">
        <f t="shared" si="2"/>
        <v>17.986358946212953</v>
      </c>
      <c r="G14" s="145">
        <f t="shared" si="3"/>
        <v>1192.7474071591655</v>
      </c>
      <c r="H14" s="150">
        <f>1160+62</f>
        <v>1222</v>
      </c>
      <c r="I14" s="146">
        <f t="shared" si="4"/>
        <v>29.252592840834495</v>
      </c>
    </row>
    <row r="15" spans="1:9" s="15" customFormat="1" ht="15">
      <c r="A15" s="103" t="s">
        <v>1070</v>
      </c>
      <c r="B15" s="22">
        <v>19</v>
      </c>
      <c r="C15" s="22">
        <f t="shared" si="0"/>
        <v>1.9000000000000001</v>
      </c>
      <c r="D15" s="22">
        <v>820</v>
      </c>
      <c r="E15" s="84">
        <f t="shared" si="1"/>
        <v>4.1999121844127325</v>
      </c>
      <c r="F15" s="84">
        <f t="shared" si="2"/>
        <v>25.09991218441273</v>
      </c>
      <c r="G15" s="145">
        <f t="shared" si="3"/>
        <v>1664.4755765971456</v>
      </c>
      <c r="H15" s="132">
        <f>1000+614</f>
        <v>1614</v>
      </c>
      <c r="I15" s="146">
        <f t="shared" si="4"/>
        <v>-50.47557659714562</v>
      </c>
    </row>
    <row r="16" spans="1:10" s="8" customFormat="1" ht="15">
      <c r="A16" s="103" t="s">
        <v>224</v>
      </c>
      <c r="B16" s="85"/>
      <c r="C16" s="85"/>
      <c r="D16" s="22">
        <v>7190</v>
      </c>
      <c r="E16" s="84">
        <f t="shared" si="1"/>
        <v>36.8260592755214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13665</v>
      </c>
      <c r="E17" s="1">
        <v>69.99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42767</v>
      </c>
      <c r="C1" s="10"/>
      <c r="D1" s="10"/>
      <c r="E1" s="10"/>
      <c r="F1" s="11" t="s">
        <v>206</v>
      </c>
      <c r="G1" s="106">
        <v>65.85</v>
      </c>
      <c r="H1" s="8" t="s">
        <v>207</v>
      </c>
      <c r="J1" s="154"/>
    </row>
    <row r="2" s="8" customFormat="1" ht="15">
      <c r="A2" s="33" t="s">
        <v>1072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426</v>
      </c>
      <c r="B4" s="22">
        <v>4.08</v>
      </c>
      <c r="C4" s="22">
        <f aca="true" t="shared" si="0" ref="C4:C12">B4*0.1</f>
        <v>0.40800000000000003</v>
      </c>
      <c r="D4" s="22">
        <v>120</v>
      </c>
      <c r="E4" s="84">
        <f aca="true" t="shared" si="1" ref="E4:E13">D4/$D$14*$E$14</f>
        <v>0.6277130044843049</v>
      </c>
      <c r="F4" s="84">
        <f aca="true" t="shared" si="2" ref="F4:F12">B4+E4+C4</f>
        <v>5.115713004484305</v>
      </c>
      <c r="G4" s="145">
        <f aca="true" t="shared" si="3" ref="G4:G12">F4*$G$1</f>
        <v>336.86970134529145</v>
      </c>
      <c r="H4" s="119">
        <v>337</v>
      </c>
      <c r="I4" s="146">
        <f aca="true" t="shared" si="4" ref="I4:I12">H4-G4</f>
        <v>0.13029865470855384</v>
      </c>
    </row>
    <row r="5" spans="1:9" s="15" customFormat="1" ht="15">
      <c r="A5" s="103" t="s">
        <v>599</v>
      </c>
      <c r="B5" s="22">
        <v>8.18</v>
      </c>
      <c r="C5" s="22">
        <f t="shared" si="0"/>
        <v>0.8180000000000001</v>
      </c>
      <c r="D5" s="22">
        <v>75</v>
      </c>
      <c r="E5" s="84">
        <f t="shared" si="1"/>
        <v>0.39232062780269056</v>
      </c>
      <c r="F5" s="84">
        <f>B5+E5+C5</f>
        <v>9.39032062780269</v>
      </c>
      <c r="G5" s="145">
        <f t="shared" si="3"/>
        <v>618.3526133408071</v>
      </c>
      <c r="H5" s="119">
        <v>615</v>
      </c>
      <c r="I5" s="146">
        <f>H5-G5</f>
        <v>-3.3526133408071246</v>
      </c>
    </row>
    <row r="6" spans="1:9" s="15" customFormat="1" ht="15">
      <c r="A6" s="103" t="s">
        <v>1073</v>
      </c>
      <c r="B6" s="22">
        <v>8.33</v>
      </c>
      <c r="C6" s="22">
        <f t="shared" si="0"/>
        <v>0.8330000000000001</v>
      </c>
      <c r="D6" s="22">
        <v>120</v>
      </c>
      <c r="E6" s="84">
        <f t="shared" si="1"/>
        <v>0.6277130044843049</v>
      </c>
      <c r="F6" s="84">
        <f t="shared" si="2"/>
        <v>9.790713004484305</v>
      </c>
      <c r="G6" s="145">
        <f t="shared" si="3"/>
        <v>644.7184513452914</v>
      </c>
      <c r="H6" s="132">
        <v>641</v>
      </c>
      <c r="I6" s="146">
        <f t="shared" si="4"/>
        <v>-3.7184513452914416</v>
      </c>
    </row>
    <row r="7" spans="1:9" s="8" customFormat="1" ht="15">
      <c r="A7" s="104" t="s">
        <v>991</v>
      </c>
      <c r="B7" s="22">
        <v>17.82</v>
      </c>
      <c r="C7" s="22">
        <f t="shared" si="0"/>
        <v>1.782</v>
      </c>
      <c r="D7" s="22">
        <v>290</v>
      </c>
      <c r="E7" s="84">
        <f t="shared" si="1"/>
        <v>1.5169730941704036</v>
      </c>
      <c r="F7" s="84">
        <f t="shared" si="2"/>
        <v>21.118973094170403</v>
      </c>
      <c r="G7" s="145">
        <f t="shared" si="3"/>
        <v>1390.684378251121</v>
      </c>
      <c r="H7" s="150">
        <f>1350+41</f>
        <v>1391</v>
      </c>
      <c r="I7" s="146">
        <f t="shared" si="4"/>
        <v>0.31562174887903893</v>
      </c>
    </row>
    <row r="8" spans="1:9" s="15" customFormat="1" ht="15">
      <c r="A8" s="103" t="s">
        <v>1074</v>
      </c>
      <c r="B8" s="22">
        <v>36.68</v>
      </c>
      <c r="C8" s="22">
        <f t="shared" si="0"/>
        <v>3.668</v>
      </c>
      <c r="D8" s="22">
        <v>255</v>
      </c>
      <c r="E8" s="84">
        <f t="shared" si="1"/>
        <v>1.3338901345291478</v>
      </c>
      <c r="F8" s="84">
        <f t="shared" si="2"/>
        <v>41.68189013452915</v>
      </c>
      <c r="G8" s="145">
        <f t="shared" si="3"/>
        <v>2744.7524653587443</v>
      </c>
      <c r="H8" s="119">
        <f>2730+15</f>
        <v>2745</v>
      </c>
      <c r="I8" s="146">
        <f t="shared" si="4"/>
        <v>0.24753464125569735</v>
      </c>
    </row>
    <row r="9" spans="1:9" s="15" customFormat="1" ht="15">
      <c r="A9" s="103" t="s">
        <v>607</v>
      </c>
      <c r="B9" s="22">
        <v>22.33</v>
      </c>
      <c r="C9" s="22">
        <f t="shared" si="0"/>
        <v>2.233</v>
      </c>
      <c r="D9" s="22">
        <v>1170</v>
      </c>
      <c r="E9" s="84">
        <f t="shared" si="1"/>
        <v>6.120201793721973</v>
      </c>
      <c r="F9" s="84">
        <f t="shared" si="2"/>
        <v>30.683201793721974</v>
      </c>
      <c r="G9" s="145">
        <f t="shared" si="3"/>
        <v>2020.4888381165918</v>
      </c>
      <c r="H9" s="119">
        <f>1993+27</f>
        <v>2020</v>
      </c>
      <c r="I9" s="146">
        <f t="shared" si="4"/>
        <v>-0.4888381165917508</v>
      </c>
    </row>
    <row r="10" spans="1:9" s="15" customFormat="1" ht="15">
      <c r="A10" s="103" t="s">
        <v>406</v>
      </c>
      <c r="B10" s="22">
        <v>53.54</v>
      </c>
      <c r="C10" s="22">
        <f t="shared" si="0"/>
        <v>5.354</v>
      </c>
      <c r="D10" s="22">
        <v>1690</v>
      </c>
      <c r="E10" s="84">
        <f t="shared" si="1"/>
        <v>8.840291479820628</v>
      </c>
      <c r="F10" s="84">
        <f t="shared" si="2"/>
        <v>67.73429147982063</v>
      </c>
      <c r="G10" s="145">
        <f t="shared" si="3"/>
        <v>4460.303093946188</v>
      </c>
      <c r="H10" s="119">
        <f>4433+19</f>
        <v>4452</v>
      </c>
      <c r="I10" s="146">
        <f t="shared" si="4"/>
        <v>-8.3030939461878</v>
      </c>
    </row>
    <row r="11" spans="1:9" s="15" customFormat="1" ht="15">
      <c r="A11" s="103" t="s">
        <v>96</v>
      </c>
      <c r="B11" s="22">
        <v>27.29</v>
      </c>
      <c r="C11" s="22">
        <f t="shared" si="0"/>
        <v>2.729</v>
      </c>
      <c r="D11" s="22">
        <v>330</v>
      </c>
      <c r="E11" s="84">
        <f t="shared" si="1"/>
        <v>1.7262107623318383</v>
      </c>
      <c r="F11" s="84">
        <f t="shared" si="2"/>
        <v>31.745210762331837</v>
      </c>
      <c r="G11" s="145">
        <f t="shared" si="3"/>
        <v>2090.422128699551</v>
      </c>
      <c r="H11" s="119">
        <v>2078</v>
      </c>
      <c r="I11" s="146">
        <f t="shared" si="4"/>
        <v>-12.422128699551195</v>
      </c>
    </row>
    <row r="12" spans="1:9" s="15" customFormat="1" ht="15">
      <c r="A12" s="103" t="s">
        <v>859</v>
      </c>
      <c r="B12" s="22">
        <v>36.41</v>
      </c>
      <c r="C12" s="22">
        <f t="shared" si="0"/>
        <v>3.641</v>
      </c>
      <c r="D12" s="22">
        <v>1090</v>
      </c>
      <c r="E12" s="84">
        <f t="shared" si="1"/>
        <v>5.701726457399102</v>
      </c>
      <c r="F12" s="84">
        <f t="shared" si="2"/>
        <v>45.7527264573991</v>
      </c>
      <c r="G12" s="145">
        <f t="shared" si="3"/>
        <v>3012.8170372197305</v>
      </c>
      <c r="H12" s="119">
        <v>3021</v>
      </c>
      <c r="I12" s="146">
        <f t="shared" si="4"/>
        <v>8.182962780269463</v>
      </c>
    </row>
    <row r="13" spans="1:10" s="8" customFormat="1" ht="15">
      <c r="A13" s="103" t="s">
        <v>224</v>
      </c>
      <c r="B13" s="85"/>
      <c r="C13" s="85"/>
      <c r="D13" s="22">
        <v>8240</v>
      </c>
      <c r="E13" s="84">
        <f t="shared" si="1"/>
        <v>43.1029596412556</v>
      </c>
      <c r="F13" s="85"/>
      <c r="G13" s="28"/>
      <c r="H13" s="156"/>
      <c r="I13" s="28"/>
      <c r="J13" s="32"/>
    </row>
    <row r="14" spans="1:9" s="8" customFormat="1" ht="15">
      <c r="A14" s="25"/>
      <c r="B14" s="86"/>
      <c r="C14" s="86"/>
      <c r="D14" s="86">
        <f>SUM(D4:D13)</f>
        <v>13380</v>
      </c>
      <c r="E14" s="1">
        <v>69.99</v>
      </c>
      <c r="F14" s="113"/>
      <c r="G14" s="28"/>
      <c r="H14" s="28"/>
      <c r="I14" s="28"/>
    </row>
    <row r="19" ht="28.5">
      <c r="A19" s="107"/>
    </row>
    <row r="20" ht="28.5">
      <c r="A20" s="107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205</v>
      </c>
      <c r="B1" s="10">
        <v>41349</v>
      </c>
      <c r="C1" s="10"/>
      <c r="D1" s="11" t="s">
        <v>206</v>
      </c>
      <c r="E1" s="12">
        <f>40.96</f>
        <v>40.96</v>
      </c>
      <c r="G1" s="8" t="s">
        <v>207</v>
      </c>
    </row>
    <row r="2" s="8" customFormat="1" ht="23.25" customHeight="1">
      <c r="A2" s="33" t="s">
        <v>243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7</v>
      </c>
      <c r="B4" s="16">
        <v>122.3</v>
      </c>
      <c r="C4" s="16">
        <f>B4*0.95</f>
        <v>116.18499999999999</v>
      </c>
      <c r="D4" s="16">
        <f aca="true" t="shared" si="0" ref="D4:D17">B4/$B$18*$D$18</f>
        <v>5.2589</v>
      </c>
      <c r="E4" s="17">
        <f aca="true" t="shared" si="1" ref="E4:E15">(C4+D4)*$E$1</f>
        <v>4974.342143999999</v>
      </c>
      <c r="F4" s="18"/>
      <c r="G4" s="19">
        <f aca="true" t="shared" si="2" ref="G4:G15">E4-F4</f>
        <v>4974.342143999999</v>
      </c>
      <c r="H4" s="22">
        <f>3000+1956+35</f>
        <v>4991</v>
      </c>
      <c r="I4" s="21">
        <f aca="true" t="shared" si="3" ref="I4:I15">H4-G4+F4</f>
        <v>16.65785600000072</v>
      </c>
    </row>
    <row r="5" spans="1:9" s="8" customFormat="1" ht="15">
      <c r="A5" s="4" t="s">
        <v>4</v>
      </c>
      <c r="B5" s="16">
        <v>6.4</v>
      </c>
      <c r="C5" s="16">
        <f aca="true" t="shared" si="4" ref="C5:C17">B5*0.95</f>
        <v>6.08</v>
      </c>
      <c r="D5" s="16">
        <f t="shared" si="0"/>
        <v>0.2752</v>
      </c>
      <c r="E5" s="17">
        <f>(C5+D5)*$E$1</f>
        <v>260.308992</v>
      </c>
      <c r="F5" s="18"/>
      <c r="G5" s="19">
        <f>E5-F5</f>
        <v>260.308992</v>
      </c>
      <c r="H5" s="22">
        <v>259</v>
      </c>
      <c r="I5" s="21">
        <f>H5-G5+F5</f>
        <v>-1.3089919999999893</v>
      </c>
    </row>
    <row r="6" spans="1:9" s="8" customFormat="1" ht="15">
      <c r="A6" s="4" t="s">
        <v>176</v>
      </c>
      <c r="B6" s="16">
        <v>14.4</v>
      </c>
      <c r="C6" s="16">
        <f t="shared" si="4"/>
        <v>13.68</v>
      </c>
      <c r="D6" s="16">
        <f t="shared" si="0"/>
        <v>0.6192</v>
      </c>
      <c r="E6" s="17">
        <f t="shared" si="1"/>
        <v>585.6952319999999</v>
      </c>
      <c r="F6" s="18"/>
      <c r="G6" s="19">
        <f t="shared" si="2"/>
        <v>585.6952319999999</v>
      </c>
      <c r="H6" s="22">
        <v>583</v>
      </c>
      <c r="I6" s="21">
        <f t="shared" si="3"/>
        <v>-2.695231999999919</v>
      </c>
    </row>
    <row r="7" spans="1:9" s="8" customFormat="1" ht="15">
      <c r="A7" s="4" t="s">
        <v>143</v>
      </c>
      <c r="B7" s="16">
        <v>5.9</v>
      </c>
      <c r="C7" s="16">
        <f t="shared" si="4"/>
        <v>5.605</v>
      </c>
      <c r="D7" s="16">
        <f t="shared" si="0"/>
        <v>0.25370000000000004</v>
      </c>
      <c r="E7" s="17">
        <f>(C7+D7)*$E$1</f>
        <v>239.97235200000003</v>
      </c>
      <c r="F7" s="18"/>
      <c r="G7" s="19">
        <f>E7-F7</f>
        <v>239.97235200000003</v>
      </c>
      <c r="H7" s="22">
        <v>241</v>
      </c>
      <c r="I7" s="21">
        <f>H7-G7+F7</f>
        <v>1.0276479999999708</v>
      </c>
    </row>
    <row r="8" spans="1:9" s="8" customFormat="1" ht="15">
      <c r="A8" s="4" t="s">
        <v>42</v>
      </c>
      <c r="B8" s="16">
        <v>5.9</v>
      </c>
      <c r="C8" s="16">
        <f t="shared" si="4"/>
        <v>5.605</v>
      </c>
      <c r="D8" s="16">
        <f t="shared" si="0"/>
        <v>0.25370000000000004</v>
      </c>
      <c r="E8" s="17">
        <f t="shared" si="1"/>
        <v>239.97235200000003</v>
      </c>
      <c r="F8" s="18"/>
      <c r="G8" s="19">
        <f t="shared" si="2"/>
        <v>239.97235200000003</v>
      </c>
      <c r="H8" s="22">
        <f>239+8</f>
        <v>247</v>
      </c>
      <c r="I8" s="21">
        <f>H8-G8+F8</f>
        <v>7.027647999999971</v>
      </c>
    </row>
    <row r="9" spans="1:9" s="8" customFormat="1" ht="15">
      <c r="A9" s="4" t="s">
        <v>138</v>
      </c>
      <c r="B9" s="16">
        <v>5.9</v>
      </c>
      <c r="C9" s="16">
        <f t="shared" si="4"/>
        <v>5.605</v>
      </c>
      <c r="D9" s="16">
        <f t="shared" si="0"/>
        <v>0.25370000000000004</v>
      </c>
      <c r="E9" s="17">
        <f t="shared" si="1"/>
        <v>239.97235200000003</v>
      </c>
      <c r="F9" s="18"/>
      <c r="G9" s="19">
        <f t="shared" si="2"/>
        <v>239.97235200000003</v>
      </c>
      <c r="H9" s="22">
        <v>293</v>
      </c>
      <c r="I9" s="21">
        <f t="shared" si="3"/>
        <v>53.02764799999997</v>
      </c>
    </row>
    <row r="10" spans="1:9" s="8" customFormat="1" ht="15">
      <c r="A10" s="4" t="s">
        <v>236</v>
      </c>
      <c r="B10" s="16">
        <v>49.6</v>
      </c>
      <c r="C10" s="16">
        <f t="shared" si="4"/>
        <v>47.12</v>
      </c>
      <c r="D10" s="16">
        <f t="shared" si="0"/>
        <v>2.1328</v>
      </c>
      <c r="E10" s="17">
        <f t="shared" si="1"/>
        <v>2017.394688</v>
      </c>
      <c r="F10" s="18"/>
      <c r="G10" s="19">
        <f t="shared" si="2"/>
        <v>2017.394688</v>
      </c>
      <c r="H10" s="22">
        <v>2025</v>
      </c>
      <c r="I10" s="21">
        <f t="shared" si="3"/>
        <v>7.605311999999913</v>
      </c>
    </row>
    <row r="11" spans="1:9" s="8" customFormat="1" ht="15">
      <c r="A11" s="4" t="s">
        <v>201</v>
      </c>
      <c r="B11" s="16">
        <v>96.2</v>
      </c>
      <c r="C11" s="16">
        <f t="shared" si="4"/>
        <v>91.39</v>
      </c>
      <c r="D11" s="16">
        <f t="shared" si="0"/>
        <v>4.1366000000000005</v>
      </c>
      <c r="E11" s="17">
        <f t="shared" si="1"/>
        <v>3912.7695360000002</v>
      </c>
      <c r="F11" s="18"/>
      <c r="G11" s="19">
        <f t="shared" si="2"/>
        <v>3912.7695360000002</v>
      </c>
      <c r="H11" s="22">
        <v>3899</v>
      </c>
      <c r="I11" s="21">
        <f t="shared" si="3"/>
        <v>-13.769536000000244</v>
      </c>
    </row>
    <row r="12" spans="1:9" s="8" customFormat="1" ht="15">
      <c r="A12" s="4" t="s">
        <v>175</v>
      </c>
      <c r="B12" s="16">
        <v>38</v>
      </c>
      <c r="C12" s="16">
        <f t="shared" si="4"/>
        <v>36.1</v>
      </c>
      <c r="D12" s="16">
        <f t="shared" si="0"/>
        <v>1.634</v>
      </c>
      <c r="E12" s="17">
        <f>(C12+D12)*$E$1</f>
        <v>1545.58464</v>
      </c>
      <c r="F12" s="18"/>
      <c r="G12" s="19">
        <f>E12-F12</f>
        <v>1545.58464</v>
      </c>
      <c r="H12" s="22">
        <v>1540</v>
      </c>
      <c r="I12" s="21">
        <f>H12-G12+F12</f>
        <v>-5.584640000000036</v>
      </c>
    </row>
    <row r="13" spans="1:9" s="8" customFormat="1" ht="15">
      <c r="A13" s="4" t="s">
        <v>61</v>
      </c>
      <c r="B13" s="16">
        <v>15.4</v>
      </c>
      <c r="C13" s="16">
        <f t="shared" si="4"/>
        <v>14.629999999999999</v>
      </c>
      <c r="D13" s="16">
        <f t="shared" si="0"/>
        <v>0.6622</v>
      </c>
      <c r="E13" s="17">
        <f>(C13+D13)*$E$1</f>
        <v>626.368512</v>
      </c>
      <c r="F13" s="18"/>
      <c r="G13" s="19">
        <f>E13-F13</f>
        <v>626.368512</v>
      </c>
      <c r="H13" s="22">
        <v>620</v>
      </c>
      <c r="I13" s="21">
        <f>H13-G13+F13</f>
        <v>-6.36851200000001</v>
      </c>
    </row>
    <row r="14" spans="1:9" s="8" customFormat="1" ht="15">
      <c r="A14" s="4" t="s">
        <v>121</v>
      </c>
      <c r="B14" s="16">
        <v>38.4</v>
      </c>
      <c r="C14" s="16">
        <f t="shared" si="4"/>
        <v>36.48</v>
      </c>
      <c r="D14" s="16">
        <f t="shared" si="0"/>
        <v>1.6511999999999998</v>
      </c>
      <c r="E14" s="17">
        <f>(C14+D14)*$E$1</f>
        <v>1561.853952</v>
      </c>
      <c r="F14" s="18"/>
      <c r="G14" s="19">
        <f>E14-F14</f>
        <v>1561.853952</v>
      </c>
      <c r="H14" s="22">
        <v>1500</v>
      </c>
      <c r="I14" s="21">
        <f>H14-G14+F14</f>
        <v>-61.853951999999936</v>
      </c>
    </row>
    <row r="15" spans="1:9" s="8" customFormat="1" ht="15">
      <c r="A15" s="3" t="s">
        <v>76</v>
      </c>
      <c r="B15" s="16">
        <v>61.8</v>
      </c>
      <c r="C15" s="16">
        <f t="shared" si="4"/>
        <v>58.709999999999994</v>
      </c>
      <c r="D15" s="16">
        <f t="shared" si="0"/>
        <v>2.6573999999999995</v>
      </c>
      <c r="E15" s="17">
        <f t="shared" si="1"/>
        <v>2513.6087039999998</v>
      </c>
      <c r="F15" s="18"/>
      <c r="G15" s="19">
        <f t="shared" si="2"/>
        <v>2513.6087039999998</v>
      </c>
      <c r="H15" s="22">
        <f>2505+9</f>
        <v>2514</v>
      </c>
      <c r="I15" s="21">
        <f t="shared" si="3"/>
        <v>0.39129600000023856</v>
      </c>
    </row>
    <row r="16" spans="1:9" s="8" customFormat="1" ht="15">
      <c r="A16" s="5" t="s">
        <v>187</v>
      </c>
      <c r="B16" s="16">
        <v>11.5</v>
      </c>
      <c r="C16" s="16">
        <f t="shared" si="4"/>
        <v>10.924999999999999</v>
      </c>
      <c r="D16" s="16">
        <f t="shared" si="0"/>
        <v>0.4945</v>
      </c>
      <c r="E16" s="17">
        <f>(C16+D16)*$E$1</f>
        <v>467.74271999999996</v>
      </c>
      <c r="F16" s="18"/>
      <c r="G16" s="19">
        <f>E16-F16</f>
        <v>467.74271999999996</v>
      </c>
      <c r="H16" s="22">
        <v>466</v>
      </c>
      <c r="I16" s="21">
        <f>H16-G16+F16</f>
        <v>-1.742719999999963</v>
      </c>
    </row>
    <row r="17" spans="1:9" s="8" customFormat="1" ht="15">
      <c r="A17" s="5" t="s">
        <v>224</v>
      </c>
      <c r="B17" s="16">
        <v>28.3</v>
      </c>
      <c r="C17" s="16">
        <f t="shared" si="4"/>
        <v>26.884999999999998</v>
      </c>
      <c r="D17" s="16">
        <f t="shared" si="0"/>
        <v>1.2169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500</v>
      </c>
      <c r="C18" s="26">
        <f>SUM(C4:C17)</f>
        <v>475</v>
      </c>
      <c r="D18" s="26">
        <v>21.5</v>
      </c>
      <c r="E18" s="27"/>
      <c r="F18" s="28"/>
      <c r="G18" s="28"/>
      <c r="H18" s="28"/>
      <c r="I18" s="28"/>
    </row>
    <row r="23" ht="23.25">
      <c r="A23" s="30"/>
    </row>
    <row r="24" ht="15">
      <c r="A2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="90" zoomScaleNormal="90" zoomScalePageLayoutView="0" workbookViewId="0" topLeftCell="A1">
      <selection activeCell="H11" sqref="H11"/>
    </sheetView>
  </sheetViews>
  <sheetFormatPr defaultColWidth="9.140625" defaultRowHeight="15"/>
  <cols>
    <col min="1" max="1" width="16.14062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  <col min="10" max="10" width="28.140625" style="0" customWidth="1"/>
  </cols>
  <sheetData>
    <row r="1" spans="1:10" s="8" customFormat="1" ht="21">
      <c r="A1" s="9" t="s">
        <v>205</v>
      </c>
      <c r="B1" s="10">
        <v>42775</v>
      </c>
      <c r="C1" s="10"/>
      <c r="D1" s="10"/>
      <c r="E1" s="10"/>
      <c r="F1" s="11" t="s">
        <v>206</v>
      </c>
      <c r="G1" s="106">
        <v>64.351</v>
      </c>
      <c r="H1" s="8" t="s">
        <v>207</v>
      </c>
      <c r="J1" s="154"/>
    </row>
    <row r="2" s="8" customFormat="1" ht="15">
      <c r="A2" s="33" t="s">
        <v>1078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418</v>
      </c>
      <c r="B4" s="22">
        <v>70.4</v>
      </c>
      <c r="C4" s="22">
        <f aca="true" t="shared" si="0" ref="C4:C11">B4*0.1</f>
        <v>7.040000000000001</v>
      </c>
      <c r="D4" s="22">
        <v>550</v>
      </c>
      <c r="E4" s="84">
        <f aca="true" t="shared" si="1" ref="E4:E12">D4/$D$13*$E$13</f>
        <v>2.7137469157560803</v>
      </c>
      <c r="F4" s="84">
        <f aca="true" t="shared" si="2" ref="F4:F11">B4+E4+C4</f>
        <v>80.15374691575609</v>
      </c>
      <c r="G4" s="145">
        <f aca="true" t="shared" si="3" ref="G4:G11">F4*$G$1</f>
        <v>5157.97376777582</v>
      </c>
      <c r="H4" s="119">
        <v>5194</v>
      </c>
      <c r="I4" s="146">
        <f aca="true" t="shared" si="4" ref="I4:I11">H4-G4</f>
        <v>36.026232224179694</v>
      </c>
    </row>
    <row r="5" spans="1:9" s="15" customFormat="1" ht="15">
      <c r="A5" s="103" t="s">
        <v>50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2.2203383856186107</v>
      </c>
      <c r="F5" s="84">
        <f>B5+E5+C5</f>
        <v>13.63283838561861</v>
      </c>
      <c r="G5" s="145">
        <f t="shared" si="3"/>
        <v>877.2867829529432</v>
      </c>
      <c r="H5" s="119">
        <v>887</v>
      </c>
      <c r="I5" s="146">
        <f>H5-G5</f>
        <v>9.713217047056787</v>
      </c>
    </row>
    <row r="6" spans="1:9" s="15" customFormat="1" ht="15">
      <c r="A6" s="103" t="s">
        <v>61</v>
      </c>
      <c r="B6" s="22">
        <v>5.42</v>
      </c>
      <c r="C6" s="22">
        <f t="shared" si="0"/>
        <v>0.542</v>
      </c>
      <c r="D6" s="22">
        <v>350</v>
      </c>
      <c r="E6" s="84">
        <f t="shared" si="1"/>
        <v>1.7269298554811419</v>
      </c>
      <c r="F6" s="84">
        <f t="shared" si="2"/>
        <v>7.688929855481142</v>
      </c>
      <c r="G6" s="145">
        <f t="shared" si="3"/>
        <v>494.79032513006695</v>
      </c>
      <c r="H6" s="132">
        <v>501</v>
      </c>
      <c r="I6" s="146">
        <f t="shared" si="4"/>
        <v>6.209674869933053</v>
      </c>
    </row>
    <row r="7" spans="1:9" s="8" customFormat="1" ht="15">
      <c r="A7" s="104" t="s">
        <v>652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5.920902361649629</v>
      </c>
      <c r="F7" s="84">
        <f t="shared" si="2"/>
        <v>14.995902361649629</v>
      </c>
      <c r="G7" s="145">
        <f t="shared" si="3"/>
        <v>965.0013128745152</v>
      </c>
      <c r="H7" s="150">
        <v>984</v>
      </c>
      <c r="I7" s="146">
        <f t="shared" si="4"/>
        <v>18.99868712548482</v>
      </c>
    </row>
    <row r="8" spans="1:9" s="15" customFormat="1" ht="15">
      <c r="A8" s="103" t="s">
        <v>585</v>
      </c>
      <c r="B8" s="22">
        <v>11.825</v>
      </c>
      <c r="C8" s="22">
        <f t="shared" si="0"/>
        <v>1.1824999999999999</v>
      </c>
      <c r="D8" s="22">
        <v>930</v>
      </c>
      <c r="E8" s="84">
        <f t="shared" si="1"/>
        <v>4.588699330278463</v>
      </c>
      <c r="F8" s="84">
        <f t="shared" si="2"/>
        <v>17.596199330278463</v>
      </c>
      <c r="G8" s="145">
        <f t="shared" si="3"/>
        <v>1132.3330231027494</v>
      </c>
      <c r="H8" s="119">
        <v>1151</v>
      </c>
      <c r="I8" s="146">
        <f t="shared" si="4"/>
        <v>18.666976897250606</v>
      </c>
    </row>
    <row r="9" spans="1:9" s="15" customFormat="1" ht="15">
      <c r="A9" s="103" t="s">
        <v>1079</v>
      </c>
      <c r="B9" s="22">
        <v>15.32</v>
      </c>
      <c r="C9" s="22">
        <f t="shared" si="0"/>
        <v>1.532</v>
      </c>
      <c r="D9" s="22">
        <v>535</v>
      </c>
      <c r="E9" s="84">
        <f t="shared" si="1"/>
        <v>2.63973563623546</v>
      </c>
      <c r="F9" s="84">
        <f t="shared" si="2"/>
        <v>19.49173563623546</v>
      </c>
      <c r="G9" s="145">
        <f t="shared" si="3"/>
        <v>1254.3126799273882</v>
      </c>
      <c r="H9" s="119">
        <f>21+1240</f>
        <v>1261</v>
      </c>
      <c r="I9" s="146">
        <f t="shared" si="4"/>
        <v>6.687320072611783</v>
      </c>
    </row>
    <row r="10" spans="1:9" s="15" customFormat="1" ht="15">
      <c r="A10" s="103" t="s">
        <v>1070</v>
      </c>
      <c r="B10" s="22">
        <v>48.4</v>
      </c>
      <c r="C10" s="22">
        <f t="shared" si="0"/>
        <v>4.84</v>
      </c>
      <c r="D10" s="22">
        <v>630</v>
      </c>
      <c r="E10" s="84">
        <f t="shared" si="1"/>
        <v>3.1084737398660556</v>
      </c>
      <c r="F10" s="84">
        <f t="shared" si="2"/>
        <v>56.34847373986605</v>
      </c>
      <c r="G10" s="145">
        <f t="shared" si="3"/>
        <v>3626.08063363412</v>
      </c>
      <c r="H10" s="119">
        <v>3677</v>
      </c>
      <c r="I10" s="146">
        <f t="shared" si="4"/>
        <v>50.919366365879796</v>
      </c>
    </row>
    <row r="11" spans="1:10" s="15" customFormat="1" ht="30">
      <c r="A11" s="103" t="s">
        <v>1080</v>
      </c>
      <c r="B11" s="22">
        <v>22.12</v>
      </c>
      <c r="C11" s="22">
        <f t="shared" si="0"/>
        <v>2.212</v>
      </c>
      <c r="D11" s="22">
        <v>690</v>
      </c>
      <c r="E11" s="84">
        <f t="shared" si="1"/>
        <v>3.4045188579485366</v>
      </c>
      <c r="F11" s="84">
        <f t="shared" si="2"/>
        <v>27.736518857948536</v>
      </c>
      <c r="G11" s="145">
        <f t="shared" si="3"/>
        <v>1784.8727250278462</v>
      </c>
      <c r="H11" s="119">
        <f>1371+414</f>
        <v>1785</v>
      </c>
      <c r="I11" s="146">
        <f t="shared" si="4"/>
        <v>0.12727497215382755</v>
      </c>
      <c r="J11" s="15" t="s">
        <v>1094</v>
      </c>
    </row>
    <row r="12" spans="1:10" s="8" customFormat="1" ht="15">
      <c r="A12" s="103" t="s">
        <v>224</v>
      </c>
      <c r="B12" s="85"/>
      <c r="C12" s="85"/>
      <c r="D12" s="22">
        <v>8850</v>
      </c>
      <c r="E12" s="84">
        <f t="shared" si="1"/>
        <v>43.666654917166014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14185</v>
      </c>
      <c r="E13" s="1">
        <v>69.99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42787</v>
      </c>
      <c r="C1" s="10"/>
      <c r="D1" s="10"/>
      <c r="E1" s="10"/>
      <c r="F1" s="11" t="s">
        <v>206</v>
      </c>
      <c r="G1" s="106">
        <v>62.45</v>
      </c>
      <c r="H1" s="8" t="s">
        <v>207</v>
      </c>
      <c r="J1" s="154"/>
    </row>
    <row r="2" s="8" customFormat="1" ht="15">
      <c r="A2" s="33" t="s">
        <v>1086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453</v>
      </c>
      <c r="B4" s="22">
        <v>13.25</v>
      </c>
      <c r="C4" s="22">
        <f aca="true" t="shared" si="0" ref="C4:C16">B4*0.1</f>
        <v>1.3250000000000002</v>
      </c>
      <c r="D4" s="22">
        <v>910</v>
      </c>
      <c r="E4" s="84">
        <f aca="true" t="shared" si="1" ref="E4:E18">D4/$D$19*$E$19</f>
        <v>4.645579868708971</v>
      </c>
      <c r="F4" s="84">
        <f aca="true" t="shared" si="2" ref="F4:F16">B4+E4+C4</f>
        <v>19.22057986870897</v>
      </c>
      <c r="G4" s="145">
        <f>F4*$G$1</f>
        <v>1200.3252128008753</v>
      </c>
      <c r="H4" s="119">
        <v>1204</v>
      </c>
      <c r="I4" s="146">
        <f>H4-G4</f>
        <v>3.674787199124694</v>
      </c>
    </row>
    <row r="5" spans="1:9" s="15" customFormat="1" ht="15">
      <c r="A5" s="103" t="s">
        <v>1087</v>
      </c>
      <c r="B5" s="22">
        <v>7.42</v>
      </c>
      <c r="C5" s="22">
        <f t="shared" si="0"/>
        <v>0.742</v>
      </c>
      <c r="D5" s="22">
        <v>465</v>
      </c>
      <c r="E5" s="84">
        <f t="shared" si="1"/>
        <v>2.373840262582057</v>
      </c>
      <c r="F5" s="84">
        <f>B5+E5+C5</f>
        <v>10.535840262582056</v>
      </c>
      <c r="G5" s="145">
        <f>F5*$G$1</f>
        <v>657.9632243982494</v>
      </c>
      <c r="H5" s="119">
        <v>657</v>
      </c>
      <c r="I5" s="146">
        <f>H5-G5</f>
        <v>-0.9632243982493947</v>
      </c>
    </row>
    <row r="6" spans="1:9" s="15" customFormat="1" ht="15">
      <c r="A6" s="103" t="s">
        <v>675</v>
      </c>
      <c r="B6" s="22">
        <v>10.75</v>
      </c>
      <c r="C6" s="22">
        <f t="shared" si="0"/>
        <v>1.075</v>
      </c>
      <c r="D6" s="22">
        <v>75</v>
      </c>
      <c r="E6" s="84">
        <f t="shared" si="1"/>
        <v>0.38287746170678333</v>
      </c>
      <c r="F6" s="84">
        <f t="shared" si="2"/>
        <v>12.207877461706783</v>
      </c>
      <c r="G6" s="145">
        <f>F6*$G$1</f>
        <v>762.3819474835886</v>
      </c>
      <c r="H6" s="119">
        <v>768</v>
      </c>
      <c r="I6" s="146">
        <f aca="true" t="shared" si="3" ref="I6:I16">H6-G6</f>
        <v>5.618052516411353</v>
      </c>
    </row>
    <row r="7" spans="1:9" s="8" customFormat="1" ht="15">
      <c r="A7" s="104" t="s">
        <v>899</v>
      </c>
      <c r="B7" s="22">
        <v>9.16</v>
      </c>
      <c r="C7" s="22">
        <f t="shared" si="0"/>
        <v>0.916</v>
      </c>
      <c r="D7" s="22">
        <v>330</v>
      </c>
      <c r="E7" s="84">
        <f t="shared" si="1"/>
        <v>1.6846608315098468</v>
      </c>
      <c r="F7" s="84">
        <f t="shared" si="2"/>
        <v>11.760660831509847</v>
      </c>
      <c r="G7" s="145">
        <f>F7*$G$1</f>
        <v>734.45326892779</v>
      </c>
      <c r="H7" s="119">
        <v>717</v>
      </c>
      <c r="I7" s="146">
        <f t="shared" si="3"/>
        <v>-17.453268927789964</v>
      </c>
    </row>
    <row r="8" spans="1:9" s="15" customFormat="1" ht="15">
      <c r="A8" s="103" t="s">
        <v>614</v>
      </c>
      <c r="B8" s="22">
        <v>6.625</v>
      </c>
      <c r="C8" s="22">
        <f t="shared" si="0"/>
        <v>0.6625000000000001</v>
      </c>
      <c r="D8" s="22">
        <v>450</v>
      </c>
      <c r="E8" s="84">
        <f t="shared" si="1"/>
        <v>2.2972647702407</v>
      </c>
      <c r="F8" s="84">
        <f t="shared" si="2"/>
        <v>9.5847647702407</v>
      </c>
      <c r="G8" s="145">
        <f aca="true" t="shared" si="4" ref="G8:G13">F8*$G$1</f>
        <v>598.5685599015317</v>
      </c>
      <c r="H8" s="119">
        <v>602</v>
      </c>
      <c r="I8" s="146">
        <f t="shared" si="3"/>
        <v>3.431440098468329</v>
      </c>
    </row>
    <row r="9" spans="1:9" s="15" customFormat="1" ht="15">
      <c r="A9" s="103" t="s">
        <v>550</v>
      </c>
      <c r="B9" s="22">
        <v>24.08</v>
      </c>
      <c r="C9" s="22">
        <f t="shared" si="0"/>
        <v>2.408</v>
      </c>
      <c r="D9" s="22">
        <v>80</v>
      </c>
      <c r="E9" s="84">
        <f t="shared" si="1"/>
        <v>0.4084026258205689</v>
      </c>
      <c r="F9" s="84">
        <f t="shared" si="2"/>
        <v>26.896402625820567</v>
      </c>
      <c r="G9" s="145">
        <f t="shared" si="4"/>
        <v>1679.6803439824944</v>
      </c>
      <c r="H9" s="119">
        <v>1692</v>
      </c>
      <c r="I9" s="146">
        <f t="shared" si="3"/>
        <v>12.319656017505622</v>
      </c>
    </row>
    <row r="10" spans="1:9" s="15" customFormat="1" ht="15">
      <c r="A10" s="103" t="s">
        <v>1088</v>
      </c>
      <c r="B10" s="22">
        <v>9.3</v>
      </c>
      <c r="C10" s="22">
        <f t="shared" si="0"/>
        <v>0.9300000000000002</v>
      </c>
      <c r="D10" s="22">
        <v>80</v>
      </c>
      <c r="E10" s="84">
        <f t="shared" si="1"/>
        <v>0.4084026258205689</v>
      </c>
      <c r="F10" s="84">
        <f t="shared" si="2"/>
        <v>10.63840262582057</v>
      </c>
      <c r="G10" s="145">
        <f t="shared" si="4"/>
        <v>664.3682439824946</v>
      </c>
      <c r="H10" s="119">
        <f>660+4</f>
        <v>664</v>
      </c>
      <c r="I10" s="146">
        <f t="shared" si="3"/>
        <v>-0.36824398249461865</v>
      </c>
    </row>
    <row r="11" spans="1:9" s="15" customFormat="1" ht="15">
      <c r="A11" s="103" t="s">
        <v>850</v>
      </c>
      <c r="B11" s="22">
        <v>8.25</v>
      </c>
      <c r="C11" s="22">
        <f>B11*0.1</f>
        <v>0.8250000000000001</v>
      </c>
      <c r="D11" s="22">
        <v>65</v>
      </c>
      <c r="E11" s="84">
        <f>D11/$D$19*$E$19</f>
        <v>0.3318271334792122</v>
      </c>
      <c r="F11" s="84">
        <f>B11+E11+C11</f>
        <v>9.406827133479212</v>
      </c>
      <c r="G11" s="145">
        <f t="shared" si="4"/>
        <v>587.4563544857768</v>
      </c>
      <c r="H11" s="119">
        <v>592</v>
      </c>
      <c r="I11" s="146">
        <f>H11-G11</f>
        <v>4.543645514223158</v>
      </c>
    </row>
    <row r="12" spans="1:9" s="15" customFormat="1" ht="15">
      <c r="A12" s="103" t="s">
        <v>1089</v>
      </c>
      <c r="B12" s="22">
        <v>14.96</v>
      </c>
      <c r="C12" s="22">
        <f>B12*0.1</f>
        <v>1.4960000000000002</v>
      </c>
      <c r="D12" s="22">
        <v>1150</v>
      </c>
      <c r="E12" s="84">
        <f>D12/$D$19*$E$19</f>
        <v>5.870787746170678</v>
      </c>
      <c r="F12" s="84">
        <f>B12+E12+C12</f>
        <v>22.326787746170677</v>
      </c>
      <c r="G12" s="145">
        <f t="shared" si="4"/>
        <v>1394.3078947483589</v>
      </c>
      <c r="H12" s="119">
        <v>1401</v>
      </c>
      <c r="I12" s="146">
        <f>H12-G12</f>
        <v>6.692105251641124</v>
      </c>
    </row>
    <row r="13" spans="1:9" s="15" customFormat="1" ht="15">
      <c r="A13" s="103" t="s">
        <v>662</v>
      </c>
      <c r="B13" s="22">
        <v>17.25</v>
      </c>
      <c r="C13" s="22">
        <f>B13*0.1</f>
        <v>1.725</v>
      </c>
      <c r="D13" s="22">
        <v>415</v>
      </c>
      <c r="E13" s="84">
        <f>D13/$D$19*$E$19</f>
        <v>2.118588621444201</v>
      </c>
      <c r="F13" s="84">
        <f>B13+E13+C13</f>
        <v>21.0935886214442</v>
      </c>
      <c r="G13" s="145">
        <f t="shared" si="4"/>
        <v>1317.2946094091903</v>
      </c>
      <c r="H13" s="119">
        <v>1107</v>
      </c>
      <c r="I13" s="146">
        <f>H13-G13</f>
        <v>-210.29460940919034</v>
      </c>
    </row>
    <row r="14" spans="1:9" s="15" customFormat="1" ht="15">
      <c r="A14" s="103" t="s">
        <v>560</v>
      </c>
      <c r="B14" s="22">
        <v>9.13</v>
      </c>
      <c r="C14" s="22">
        <f t="shared" si="0"/>
        <v>0.9130000000000001</v>
      </c>
      <c r="D14" s="22">
        <v>355</v>
      </c>
      <c r="E14" s="84">
        <f t="shared" si="1"/>
        <v>1.8122866520787744</v>
      </c>
      <c r="F14" s="84">
        <f t="shared" si="2"/>
        <v>11.855286652078775</v>
      </c>
      <c r="G14" s="145">
        <f>F14*$G$1</f>
        <v>740.3626514223195</v>
      </c>
      <c r="H14" s="119">
        <v>680</v>
      </c>
      <c r="I14" s="146">
        <f t="shared" si="3"/>
        <v>-60.36265142231946</v>
      </c>
    </row>
    <row r="15" spans="1:9" s="15" customFormat="1" ht="15">
      <c r="A15" s="103" t="s">
        <v>174</v>
      </c>
      <c r="B15" s="22">
        <v>20.02</v>
      </c>
      <c r="C15" s="22">
        <f t="shared" si="0"/>
        <v>2.0020000000000002</v>
      </c>
      <c r="D15" s="22">
        <v>255</v>
      </c>
      <c r="E15" s="84">
        <f t="shared" si="1"/>
        <v>1.3017833698030634</v>
      </c>
      <c r="F15" s="84">
        <f t="shared" si="2"/>
        <v>23.323783369803063</v>
      </c>
      <c r="G15" s="145">
        <f>F15*$G$1</f>
        <v>1456.5702714442014</v>
      </c>
      <c r="H15" s="119">
        <f>1400+56</f>
        <v>1456</v>
      </c>
      <c r="I15" s="146">
        <f t="shared" si="3"/>
        <v>-0.570271444201353</v>
      </c>
    </row>
    <row r="16" spans="1:9" s="15" customFormat="1" ht="15">
      <c r="A16" s="103" t="s">
        <v>587</v>
      </c>
      <c r="B16" s="22">
        <v>14.83</v>
      </c>
      <c r="C16" s="22">
        <f t="shared" si="0"/>
        <v>1.483</v>
      </c>
      <c r="D16" s="22">
        <v>170</v>
      </c>
      <c r="E16" s="84">
        <f t="shared" si="1"/>
        <v>0.867855579868709</v>
      </c>
      <c r="F16" s="84">
        <f t="shared" si="2"/>
        <v>17.18085557986871</v>
      </c>
      <c r="G16" s="145">
        <f>F16*$G$1</f>
        <v>1072.9444309628009</v>
      </c>
      <c r="H16" s="119">
        <v>1081</v>
      </c>
      <c r="I16" s="146">
        <f t="shared" si="3"/>
        <v>8.05556903719912</v>
      </c>
    </row>
    <row r="17" spans="1:9" s="15" customFormat="1" ht="15">
      <c r="A17" s="103" t="s">
        <v>1090</v>
      </c>
      <c r="B17" s="22">
        <v>49.31</v>
      </c>
      <c r="C17" s="22">
        <f>B17*0.1</f>
        <v>4.931000000000001</v>
      </c>
      <c r="D17" s="22">
        <v>470</v>
      </c>
      <c r="E17" s="84">
        <f>D17/$D$19*$E$19</f>
        <v>2.399365426695842</v>
      </c>
      <c r="F17" s="84">
        <f>B17+E17+C17</f>
        <v>56.64036542669585</v>
      </c>
      <c r="G17" s="145">
        <f>F17*$G$1</f>
        <v>3537.190820897156</v>
      </c>
      <c r="H17" s="119">
        <v>3563</v>
      </c>
      <c r="I17" s="146">
        <f>H17-G17</f>
        <v>25.809179102844155</v>
      </c>
    </row>
    <row r="18" spans="1:10" s="8" customFormat="1" ht="15">
      <c r="A18" s="103" t="s">
        <v>224</v>
      </c>
      <c r="B18" s="85"/>
      <c r="C18" s="85"/>
      <c r="D18" s="22">
        <v>8440</v>
      </c>
      <c r="E18" s="84">
        <f t="shared" si="1"/>
        <v>43.08647702407002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13710</v>
      </c>
      <c r="E19" s="1">
        <v>69.99</v>
      </c>
      <c r="F19" s="113"/>
      <c r="G19" s="28"/>
      <c r="H19" s="28"/>
      <c r="I19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="90" zoomScaleNormal="90" zoomScalePageLayoutView="0" workbookViewId="0" topLeftCell="A1">
      <selection activeCell="H13" sqref="H13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42796</v>
      </c>
      <c r="C1" s="10"/>
      <c r="D1" s="10"/>
      <c r="E1" s="10"/>
      <c r="F1" s="11" t="s">
        <v>206</v>
      </c>
      <c r="G1" s="106">
        <v>63.733</v>
      </c>
      <c r="H1" s="8" t="s">
        <v>207</v>
      </c>
      <c r="J1" s="154"/>
    </row>
    <row r="2" s="8" customFormat="1" ht="15">
      <c r="A2" s="33" t="s">
        <v>1095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418</v>
      </c>
      <c r="B4" s="22">
        <v>70.4</v>
      </c>
      <c r="C4" s="22">
        <f aca="true" t="shared" si="0" ref="C4:C14">B4*0.1</f>
        <v>7.040000000000001</v>
      </c>
      <c r="D4" s="22">
        <v>550</v>
      </c>
      <c r="E4" s="84">
        <f aca="true" t="shared" si="1" ref="E4:E15">D4/$D$16*$E$16</f>
        <v>2.7701856649395507</v>
      </c>
      <c r="F4" s="84">
        <f aca="true" t="shared" si="2" ref="F4:F14">B4+E4+C4</f>
        <v>80.21018566493956</v>
      </c>
      <c r="G4" s="145">
        <f aca="true" t="shared" si="3" ref="G4:G14">F4*$G$1</f>
        <v>5112.035762983593</v>
      </c>
      <c r="H4" s="119">
        <v>5137</v>
      </c>
      <c r="I4" s="146">
        <f aca="true" t="shared" si="4" ref="I4:I14">H4-G4</f>
        <v>24.964237016407424</v>
      </c>
    </row>
    <row r="5" spans="1:9" s="15" customFormat="1" ht="15">
      <c r="A5" s="103" t="s">
        <v>967</v>
      </c>
      <c r="B5" s="22">
        <v>12.08</v>
      </c>
      <c r="C5" s="22">
        <f t="shared" si="0"/>
        <v>1.2080000000000002</v>
      </c>
      <c r="D5" s="22">
        <v>470</v>
      </c>
      <c r="E5" s="84">
        <f t="shared" si="1"/>
        <v>2.367249568221071</v>
      </c>
      <c r="F5" s="84">
        <f>B5+E5+C5</f>
        <v>15.655249568221071</v>
      </c>
      <c r="G5" s="145">
        <f t="shared" si="3"/>
        <v>997.7560207314335</v>
      </c>
      <c r="H5" s="132">
        <v>982</v>
      </c>
      <c r="I5" s="146">
        <f>H5-G5</f>
        <v>-15.756020731433523</v>
      </c>
    </row>
    <row r="6" spans="1:9" s="15" customFormat="1" ht="15">
      <c r="A6" s="103" t="s">
        <v>14</v>
      </c>
      <c r="B6" s="22">
        <v>15.42</v>
      </c>
      <c r="C6" s="22">
        <f t="shared" si="0"/>
        <v>1.542</v>
      </c>
      <c r="D6" s="22">
        <v>75</v>
      </c>
      <c r="E6" s="84">
        <f t="shared" si="1"/>
        <v>0.3777525906735751</v>
      </c>
      <c r="F6" s="84">
        <f t="shared" si="2"/>
        <v>17.339752590673577</v>
      </c>
      <c r="G6" s="145">
        <f t="shared" si="3"/>
        <v>1105.114451861399</v>
      </c>
      <c r="H6" s="119">
        <f>1088+17</f>
        <v>1105</v>
      </c>
      <c r="I6" s="146">
        <f t="shared" si="4"/>
        <v>-0.11445186139894759</v>
      </c>
    </row>
    <row r="7" spans="1:9" s="8" customFormat="1" ht="15">
      <c r="A7" s="104" t="s">
        <v>1096</v>
      </c>
      <c r="B7" s="22">
        <v>9.08</v>
      </c>
      <c r="C7" s="22">
        <f t="shared" si="0"/>
        <v>0.908</v>
      </c>
      <c r="D7" s="22">
        <v>65</v>
      </c>
      <c r="E7" s="84">
        <f t="shared" si="1"/>
        <v>0.3273855785837651</v>
      </c>
      <c r="F7" s="84">
        <f t="shared" si="2"/>
        <v>10.315385578583765</v>
      </c>
      <c r="G7" s="145">
        <f t="shared" si="3"/>
        <v>657.430469079879</v>
      </c>
      <c r="H7" s="150">
        <v>650</v>
      </c>
      <c r="I7" s="146">
        <f t="shared" si="4"/>
        <v>-7.430469079879003</v>
      </c>
    </row>
    <row r="8" spans="1:9" s="15" customFormat="1" ht="15">
      <c r="A8" s="103" t="s">
        <v>1097</v>
      </c>
      <c r="B8" s="22">
        <v>9.56</v>
      </c>
      <c r="C8" s="22">
        <f t="shared" si="0"/>
        <v>0.9560000000000001</v>
      </c>
      <c r="D8" s="22">
        <v>86</v>
      </c>
      <c r="E8" s="84">
        <f t="shared" si="1"/>
        <v>0.43315630397236615</v>
      </c>
      <c r="F8" s="84">
        <f t="shared" si="2"/>
        <v>10.949156303972366</v>
      </c>
      <c r="G8" s="145">
        <f t="shared" si="3"/>
        <v>697.8225787210707</v>
      </c>
      <c r="H8" s="119">
        <v>684</v>
      </c>
      <c r="I8" s="146">
        <f t="shared" si="4"/>
        <v>-13.822578721070727</v>
      </c>
    </row>
    <row r="9" spans="1:9" s="15" customFormat="1" ht="15">
      <c r="A9" s="103" t="s">
        <v>630</v>
      </c>
      <c r="B9" s="22">
        <v>26.25</v>
      </c>
      <c r="C9" s="22">
        <f t="shared" si="0"/>
        <v>2.625</v>
      </c>
      <c r="D9" s="22">
        <v>1165</v>
      </c>
      <c r="E9" s="84">
        <f t="shared" si="1"/>
        <v>5.867756908462867</v>
      </c>
      <c r="F9" s="84">
        <f t="shared" si="2"/>
        <v>34.742756908462866</v>
      </c>
      <c r="G9" s="145">
        <f t="shared" si="3"/>
        <v>2214.2601260470637</v>
      </c>
      <c r="H9" s="119">
        <v>2218</v>
      </c>
      <c r="I9" s="146">
        <f t="shared" si="4"/>
        <v>3.73987395293625</v>
      </c>
    </row>
    <row r="10" spans="1:9" s="15" customFormat="1" ht="15">
      <c r="A10" s="103" t="s">
        <v>96</v>
      </c>
      <c r="B10" s="22">
        <v>85.59</v>
      </c>
      <c r="C10" s="22">
        <f t="shared" si="0"/>
        <v>8.559000000000001</v>
      </c>
      <c r="D10" s="22">
        <v>825</v>
      </c>
      <c r="E10" s="84">
        <f t="shared" si="1"/>
        <v>4.155278497409326</v>
      </c>
      <c r="F10" s="84">
        <f t="shared" si="2"/>
        <v>98.30427849740933</v>
      </c>
      <c r="G10" s="145">
        <f t="shared" si="3"/>
        <v>6265.226581475388</v>
      </c>
      <c r="H10" s="119">
        <f>6079+199</f>
        <v>6278</v>
      </c>
      <c r="I10" s="146">
        <f t="shared" si="4"/>
        <v>12.77341852461177</v>
      </c>
    </row>
    <row r="11" spans="1:9" s="15" customFormat="1" ht="15">
      <c r="A11" s="103" t="s">
        <v>1036</v>
      </c>
      <c r="B11" s="22">
        <v>22.5</v>
      </c>
      <c r="C11" s="22">
        <f>B11*0.1</f>
        <v>2.25</v>
      </c>
      <c r="D11" s="22">
        <v>325</v>
      </c>
      <c r="E11" s="84">
        <f t="shared" si="1"/>
        <v>1.6369278929188253</v>
      </c>
      <c r="F11" s="84">
        <f>B11+E11+C11</f>
        <v>26.386927892918827</v>
      </c>
      <c r="G11" s="145">
        <f>F11*$G$1</f>
        <v>1681.7180753993955</v>
      </c>
      <c r="H11" s="119">
        <v>1661</v>
      </c>
      <c r="I11" s="146">
        <f>H11-G11</f>
        <v>-20.718075399395502</v>
      </c>
    </row>
    <row r="12" spans="1:9" s="15" customFormat="1" ht="15">
      <c r="A12" s="103" t="s">
        <v>1098</v>
      </c>
      <c r="B12" s="22">
        <v>14.83</v>
      </c>
      <c r="C12" s="22">
        <f>B12*0.1</f>
        <v>1.483</v>
      </c>
      <c r="D12" s="22">
        <v>325</v>
      </c>
      <c r="E12" s="84">
        <f t="shared" si="1"/>
        <v>1.6369278929188253</v>
      </c>
      <c r="F12" s="84">
        <f>B12+E12+C12</f>
        <v>17.949927892918826</v>
      </c>
      <c r="G12" s="145">
        <f>F12*$G$1</f>
        <v>1144.0027543993954</v>
      </c>
      <c r="H12" s="119">
        <f>1132+12</f>
        <v>1144</v>
      </c>
      <c r="I12" s="146">
        <f>H12-G12</f>
        <v>-0.0027543993953713652</v>
      </c>
    </row>
    <row r="13" spans="1:9" s="15" customFormat="1" ht="15">
      <c r="A13" s="103" t="s">
        <v>652</v>
      </c>
      <c r="B13" s="22">
        <v>44.13</v>
      </c>
      <c r="C13" s="22">
        <f>B13*0.1</f>
        <v>4.413</v>
      </c>
      <c r="D13" s="22">
        <v>2280</v>
      </c>
      <c r="E13" s="84">
        <f t="shared" si="1"/>
        <v>11.483678756476683</v>
      </c>
      <c r="F13" s="84">
        <f>B13+E13+C13</f>
        <v>60.026678756476684</v>
      </c>
      <c r="G13" s="145">
        <f>F13*$G$1</f>
        <v>3825.6803171865286</v>
      </c>
      <c r="H13" s="119">
        <f>3545+281</f>
        <v>3826</v>
      </c>
      <c r="I13" s="146">
        <f>H13-G13</f>
        <v>0.3196828134714451</v>
      </c>
    </row>
    <row r="14" spans="1:9" s="15" customFormat="1" ht="15">
      <c r="A14" s="103" t="s">
        <v>140</v>
      </c>
      <c r="B14" s="22">
        <v>80.66</v>
      </c>
      <c r="C14" s="22">
        <f t="shared" si="0"/>
        <v>8.066</v>
      </c>
      <c r="D14" s="22">
        <v>2080</v>
      </c>
      <c r="E14" s="84">
        <f t="shared" si="1"/>
        <v>10.476338514680483</v>
      </c>
      <c r="F14" s="84">
        <f t="shared" si="2"/>
        <v>99.20233851468048</v>
      </c>
      <c r="G14" s="145">
        <f t="shared" si="3"/>
        <v>6322.46264055613</v>
      </c>
      <c r="H14" s="119">
        <f>4000+2278</f>
        <v>6278</v>
      </c>
      <c r="I14" s="146">
        <f t="shared" si="4"/>
        <v>-44.46264055613028</v>
      </c>
    </row>
    <row r="15" spans="1:10" s="8" customFormat="1" ht="15">
      <c r="A15" s="103" t="s">
        <v>224</v>
      </c>
      <c r="B15" s="85"/>
      <c r="C15" s="85"/>
      <c r="D15" s="22">
        <v>5650</v>
      </c>
      <c r="E15" s="84">
        <f t="shared" si="1"/>
        <v>28.457361830742656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13896</v>
      </c>
      <c r="E16" s="1">
        <v>69.99</v>
      </c>
      <c r="F16" s="113"/>
      <c r="G16" s="28"/>
      <c r="H16" s="28"/>
      <c r="I16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J16" sqref="J1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42808</v>
      </c>
      <c r="C1" s="10"/>
      <c r="D1" s="10"/>
      <c r="E1" s="10"/>
      <c r="F1" s="11" t="s">
        <v>206</v>
      </c>
      <c r="G1" s="106">
        <v>64.613</v>
      </c>
      <c r="H1" s="8" t="s">
        <v>207</v>
      </c>
      <c r="J1" s="154"/>
    </row>
    <row r="2" s="8" customFormat="1" ht="15">
      <c r="A2" s="33" t="s">
        <v>1103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254</v>
      </c>
      <c r="B4" s="22">
        <v>4.565</v>
      </c>
      <c r="C4" s="22">
        <f aca="true" t="shared" si="0" ref="C4:C14">B4*0.1</f>
        <v>0.4565000000000001</v>
      </c>
      <c r="D4" s="22">
        <v>550</v>
      </c>
      <c r="E4" s="84">
        <f aca="true" t="shared" si="1" ref="E4:E20">D4/$D$21*$E$21</f>
        <v>2.79981884057971</v>
      </c>
      <c r="F4" s="84">
        <f aca="true" t="shared" si="2" ref="F4:F14">B4+E4+C4</f>
        <v>7.8213188405797105</v>
      </c>
      <c r="G4" s="145">
        <f aca="true" t="shared" si="3" ref="G4:G14">F4*$G$1</f>
        <v>505.35887424637684</v>
      </c>
      <c r="H4" s="119">
        <v>477</v>
      </c>
      <c r="I4" s="146">
        <f aca="true" t="shared" si="4" ref="I4:I14">H4-G4</f>
        <v>-28.358874246376843</v>
      </c>
    </row>
    <row r="5" spans="1:9" s="15" customFormat="1" ht="15">
      <c r="A5" s="103" t="s">
        <v>850</v>
      </c>
      <c r="B5" s="22">
        <v>4.565</v>
      </c>
      <c r="C5" s="22">
        <f t="shared" si="0"/>
        <v>0.4565000000000001</v>
      </c>
      <c r="D5" s="22">
        <v>550</v>
      </c>
      <c r="E5" s="84">
        <f t="shared" si="1"/>
        <v>2.79981884057971</v>
      </c>
      <c r="F5" s="84">
        <f>B5+E5+C5</f>
        <v>7.8213188405797105</v>
      </c>
      <c r="G5" s="145">
        <f t="shared" si="3"/>
        <v>505.35887424637684</v>
      </c>
      <c r="H5" s="119">
        <v>508</v>
      </c>
      <c r="I5" s="146">
        <f>H5-G5</f>
        <v>2.6411257536231574</v>
      </c>
    </row>
    <row r="6" spans="1:9" s="15" customFormat="1" ht="15">
      <c r="A6" s="103" t="s">
        <v>913</v>
      </c>
      <c r="B6" s="22">
        <v>4.565</v>
      </c>
      <c r="C6" s="22">
        <f t="shared" si="0"/>
        <v>0.4565000000000001</v>
      </c>
      <c r="D6" s="22">
        <v>550</v>
      </c>
      <c r="E6" s="84">
        <f t="shared" si="1"/>
        <v>2.79981884057971</v>
      </c>
      <c r="F6" s="84">
        <f t="shared" si="2"/>
        <v>7.8213188405797105</v>
      </c>
      <c r="G6" s="145">
        <f t="shared" si="3"/>
        <v>505.35887424637684</v>
      </c>
      <c r="H6" s="119">
        <v>508</v>
      </c>
      <c r="I6" s="146">
        <f t="shared" si="4"/>
        <v>2.6411257536231574</v>
      </c>
    </row>
    <row r="7" spans="1:9" s="8" customFormat="1" ht="15">
      <c r="A7" s="104" t="s">
        <v>1104</v>
      </c>
      <c r="B7" s="22">
        <v>6.25</v>
      </c>
      <c r="C7" s="22">
        <f t="shared" si="0"/>
        <v>0.625</v>
      </c>
      <c r="D7" s="22">
        <v>140</v>
      </c>
      <c r="E7" s="84">
        <f t="shared" si="1"/>
        <v>0.7126811594202898</v>
      </c>
      <c r="F7" s="84">
        <f t="shared" si="2"/>
        <v>7.58768115942029</v>
      </c>
      <c r="G7" s="145">
        <f t="shared" si="3"/>
        <v>490.2628427536232</v>
      </c>
      <c r="H7" s="119">
        <f>487+3</f>
        <v>490</v>
      </c>
      <c r="I7" s="146">
        <f t="shared" si="4"/>
        <v>-0.26284275362320386</v>
      </c>
    </row>
    <row r="8" spans="1:9" s="15" customFormat="1" ht="15">
      <c r="A8" s="103" t="s">
        <v>115</v>
      </c>
      <c r="B8" s="22">
        <v>8.25</v>
      </c>
      <c r="C8" s="22">
        <f t="shared" si="0"/>
        <v>0.8250000000000001</v>
      </c>
      <c r="D8" s="22">
        <v>65</v>
      </c>
      <c r="E8" s="84">
        <f t="shared" si="1"/>
        <v>0.3308876811594203</v>
      </c>
      <c r="F8" s="84">
        <f t="shared" si="2"/>
        <v>9.40588768115942</v>
      </c>
      <c r="G8" s="145">
        <f t="shared" si="3"/>
        <v>607.7426207427536</v>
      </c>
      <c r="H8" s="119">
        <v>607</v>
      </c>
      <c r="I8" s="146">
        <f t="shared" si="4"/>
        <v>-0.7426207427536156</v>
      </c>
    </row>
    <row r="9" spans="1:9" s="15" customFormat="1" ht="15">
      <c r="A9" s="103" t="s">
        <v>587</v>
      </c>
      <c r="B9" s="22">
        <v>8.43</v>
      </c>
      <c r="C9" s="22">
        <f t="shared" si="0"/>
        <v>0.843</v>
      </c>
      <c r="D9" s="22">
        <v>85</v>
      </c>
      <c r="E9" s="84">
        <f t="shared" si="1"/>
        <v>0.43269927536231884</v>
      </c>
      <c r="F9" s="84">
        <f t="shared" si="2"/>
        <v>9.705699275362319</v>
      </c>
      <c r="G9" s="145">
        <f t="shared" si="3"/>
        <v>627.1143472789855</v>
      </c>
      <c r="H9" s="119">
        <f>614+6+13</f>
        <v>633</v>
      </c>
      <c r="I9" s="146">
        <f t="shared" si="4"/>
        <v>5.8856527210144804</v>
      </c>
    </row>
    <row r="10" spans="1:9" s="15" customFormat="1" ht="15">
      <c r="A10" s="103" t="s">
        <v>936</v>
      </c>
      <c r="B10" s="22">
        <v>24.99</v>
      </c>
      <c r="C10" s="22">
        <f t="shared" si="0"/>
        <v>2.499</v>
      </c>
      <c r="D10" s="22">
        <v>920</v>
      </c>
      <c r="E10" s="84">
        <f t="shared" si="1"/>
        <v>4.683333333333334</v>
      </c>
      <c r="F10" s="84">
        <f t="shared" si="2"/>
        <v>32.172333333333334</v>
      </c>
      <c r="G10" s="145">
        <f t="shared" si="3"/>
        <v>2078.7509736666666</v>
      </c>
      <c r="H10" s="119">
        <v>2082</v>
      </c>
      <c r="I10" s="146">
        <f t="shared" si="4"/>
        <v>3.249026333333404</v>
      </c>
    </row>
    <row r="11" spans="1:9" s="15" customFormat="1" ht="15">
      <c r="A11" s="103" t="s">
        <v>1105</v>
      </c>
      <c r="B11" s="22">
        <v>26.99</v>
      </c>
      <c r="C11" s="22">
        <f>B11*0.1</f>
        <v>2.699</v>
      </c>
      <c r="D11" s="22">
        <v>1385</v>
      </c>
      <c r="E11" s="84">
        <f t="shared" si="1"/>
        <v>7.050452898550724</v>
      </c>
      <c r="F11" s="84">
        <f>B11+E11+C11</f>
        <v>36.739452898550724</v>
      </c>
      <c r="G11" s="145">
        <f>F11*$G$1</f>
        <v>2373.8462701340577</v>
      </c>
      <c r="H11" s="119">
        <f>2346+28</f>
        <v>2374</v>
      </c>
      <c r="I11" s="146">
        <f>H11-G11</f>
        <v>0.15372986594229587</v>
      </c>
    </row>
    <row r="12" spans="1:9" s="15" customFormat="1" ht="15">
      <c r="A12" s="103" t="s">
        <v>418</v>
      </c>
      <c r="B12" s="22">
        <v>43.16</v>
      </c>
      <c r="C12" s="22">
        <f>B12*0.1</f>
        <v>4.316</v>
      </c>
      <c r="D12" s="22">
        <v>1300</v>
      </c>
      <c r="E12" s="84">
        <f t="shared" si="1"/>
        <v>6.617753623188406</v>
      </c>
      <c r="F12" s="84">
        <f>B12+E12+C12</f>
        <v>54.093753623188405</v>
      </c>
      <c r="G12" s="145">
        <f>F12*$G$1</f>
        <v>3495.1597028550723</v>
      </c>
      <c r="H12" s="119">
        <v>3558</v>
      </c>
      <c r="I12" s="146">
        <f>H12-G12</f>
        <v>62.84029714492772</v>
      </c>
    </row>
    <row r="13" spans="1:9" s="15" customFormat="1" ht="15">
      <c r="A13" s="103" t="s">
        <v>1106</v>
      </c>
      <c r="B13" s="22">
        <v>23.51</v>
      </c>
      <c r="C13" s="22">
        <f>B13*0.1</f>
        <v>2.3510000000000004</v>
      </c>
      <c r="D13" s="22">
        <v>1420</v>
      </c>
      <c r="E13" s="84">
        <f t="shared" si="1"/>
        <v>7.2286231884057965</v>
      </c>
      <c r="F13" s="84">
        <f>B13+E13+C13</f>
        <v>33.089623188405795</v>
      </c>
      <c r="G13" s="145">
        <f>F13*$G$1</f>
        <v>2138.0198230724636</v>
      </c>
      <c r="H13" s="119">
        <v>2140</v>
      </c>
      <c r="I13" s="146">
        <f>H13-G13</f>
        <v>1.9801769275363768</v>
      </c>
    </row>
    <row r="14" spans="1:9" s="15" customFormat="1" ht="15">
      <c r="A14" s="103" t="s">
        <v>630</v>
      </c>
      <c r="B14" s="22">
        <v>33.92</v>
      </c>
      <c r="C14" s="22">
        <f t="shared" si="0"/>
        <v>3.3920000000000003</v>
      </c>
      <c r="D14" s="22">
        <v>1335</v>
      </c>
      <c r="E14" s="84">
        <f t="shared" si="1"/>
        <v>6.795923913043478</v>
      </c>
      <c r="F14" s="84">
        <f t="shared" si="2"/>
        <v>44.107923913043486</v>
      </c>
      <c r="G14" s="145">
        <f t="shared" si="3"/>
        <v>2849.9452877934787</v>
      </c>
      <c r="H14" s="119">
        <v>2848</v>
      </c>
      <c r="I14" s="146">
        <f t="shared" si="4"/>
        <v>-1.9452877934786557</v>
      </c>
    </row>
    <row r="15" spans="1:10" s="15" customFormat="1" ht="105">
      <c r="A15" s="103" t="s">
        <v>1046</v>
      </c>
      <c r="B15" s="22">
        <v>9.365</v>
      </c>
      <c r="C15" s="22">
        <f>B15*0.1</f>
        <v>0.9365000000000001</v>
      </c>
      <c r="D15" s="22">
        <v>590</v>
      </c>
      <c r="E15" s="84">
        <f>D15/$D$21*$E$21</f>
        <v>3.003442028985507</v>
      </c>
      <c r="F15" s="84">
        <f>B15+E15+C15</f>
        <v>13.304942028985508</v>
      </c>
      <c r="G15" s="145">
        <f>F15*$G$1</f>
        <v>859.6722193188406</v>
      </c>
      <c r="H15" s="119">
        <f>681+195-15</f>
        <v>861</v>
      </c>
      <c r="I15" s="146">
        <f>H15-G15</f>
        <v>1.3277806811594246</v>
      </c>
      <c r="J15" s="15" t="s">
        <v>1124</v>
      </c>
    </row>
    <row r="16" spans="1:9" s="15" customFormat="1" ht="15">
      <c r="A16" s="103" t="s">
        <v>580</v>
      </c>
      <c r="B16" s="22">
        <v>9.16</v>
      </c>
      <c r="C16" s="22">
        <f>B16*0.1</f>
        <v>0.916</v>
      </c>
      <c r="D16" s="22">
        <v>355</v>
      </c>
      <c r="E16" s="84">
        <f>D16/$D$21*$E$21</f>
        <v>1.8071557971014491</v>
      </c>
      <c r="F16" s="84">
        <f>B16+E16+C16</f>
        <v>11.88315579710145</v>
      </c>
      <c r="G16" s="145">
        <f>F16*$G$1</f>
        <v>767.806345518116</v>
      </c>
      <c r="H16" s="119">
        <f>727+41</f>
        <v>768</v>
      </c>
      <c r="I16" s="146">
        <f>H16-G16</f>
        <v>0.19365448188398204</v>
      </c>
    </row>
    <row r="17" spans="1:9" s="15" customFormat="1" ht="15">
      <c r="A17" s="103" t="s">
        <v>188</v>
      </c>
      <c r="B17" s="22">
        <v>18.17</v>
      </c>
      <c r="C17" s="22">
        <f>B17*0.1</f>
        <v>1.8170000000000002</v>
      </c>
      <c r="D17" s="22">
        <v>200</v>
      </c>
      <c r="E17" s="84">
        <f>D17/$D$21*$E$21</f>
        <v>1.0181159420289856</v>
      </c>
      <c r="F17" s="84">
        <f>B17+E17+C17</f>
        <v>21.005115942028986</v>
      </c>
      <c r="G17" s="145">
        <f>F17*$G$1</f>
        <v>1357.203556362319</v>
      </c>
      <c r="H17" s="119">
        <v>1358</v>
      </c>
      <c r="I17" s="146">
        <f>H17-G17</f>
        <v>0.7964436376810227</v>
      </c>
    </row>
    <row r="18" spans="1:9" s="15" customFormat="1" ht="15">
      <c r="A18" s="103" t="s">
        <v>704</v>
      </c>
      <c r="B18" s="22">
        <v>29.45</v>
      </c>
      <c r="C18" s="22">
        <f>B18*0.1</f>
        <v>2.9450000000000003</v>
      </c>
      <c r="D18" s="22">
        <v>1860</v>
      </c>
      <c r="E18" s="84">
        <f>D18/$D$21*$E$21</f>
        <v>9.468478260869565</v>
      </c>
      <c r="F18" s="84">
        <f>B18+E18+C18</f>
        <v>41.86347826086956</v>
      </c>
      <c r="G18" s="145">
        <f>F18*$G$1</f>
        <v>2704.924920869565</v>
      </c>
      <c r="H18" s="119">
        <v>2739</v>
      </c>
      <c r="I18" s="146">
        <f>H18-G18</f>
        <v>34.075079130434915</v>
      </c>
    </row>
    <row r="19" spans="1:9" s="15" customFormat="1" ht="15">
      <c r="A19" s="103" t="s">
        <v>740</v>
      </c>
      <c r="B19" s="22">
        <v>108.87</v>
      </c>
      <c r="C19" s="22">
        <f>B19*0.1</f>
        <v>10.887</v>
      </c>
      <c r="D19" s="22">
        <v>1605</v>
      </c>
      <c r="E19" s="84">
        <f>D19/$D$21*$E$21</f>
        <v>8.170380434782608</v>
      </c>
      <c r="F19" s="84">
        <f>B19+E19+C19</f>
        <v>127.9273804347826</v>
      </c>
      <c r="G19" s="145">
        <f>F19*$G$1</f>
        <v>8265.771832032608</v>
      </c>
      <c r="H19" s="119">
        <f>8243+23</f>
        <v>8266</v>
      </c>
      <c r="I19" s="146">
        <f>H19-G19</f>
        <v>0.22816796739243728</v>
      </c>
    </row>
    <row r="20" spans="1:10" s="8" customFormat="1" ht="15">
      <c r="A20" s="103" t="s">
        <v>224</v>
      </c>
      <c r="B20" s="85"/>
      <c r="C20" s="85"/>
      <c r="D20" s="22">
        <v>890</v>
      </c>
      <c r="E20" s="84">
        <f t="shared" si="1"/>
        <v>4.5306159420289855</v>
      </c>
      <c r="F20" s="85"/>
      <c r="G20" s="28"/>
      <c r="H20" s="156"/>
      <c r="I20" s="28"/>
      <c r="J20" s="32"/>
    </row>
    <row r="21" spans="1:9" s="8" customFormat="1" ht="15">
      <c r="A21" s="25"/>
      <c r="B21" s="86"/>
      <c r="C21" s="86"/>
      <c r="D21" s="86">
        <f>SUM(D4:D20)</f>
        <v>13800</v>
      </c>
      <c r="E21" s="1">
        <v>70.25</v>
      </c>
      <c r="F21" s="113"/>
      <c r="G21" s="28"/>
      <c r="H21" s="28"/>
      <c r="I21" s="28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42815</v>
      </c>
      <c r="C1" s="10"/>
      <c r="D1" s="10"/>
      <c r="E1" s="10"/>
      <c r="F1" s="11" t="s">
        <v>206</v>
      </c>
      <c r="G1" s="106">
        <v>63.92</v>
      </c>
      <c r="H1" s="8" t="s">
        <v>207</v>
      </c>
      <c r="J1" s="154"/>
    </row>
    <row r="2" s="8" customFormat="1" ht="15">
      <c r="A2" s="33" t="s">
        <v>1110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1111</v>
      </c>
      <c r="B4" s="22">
        <v>4.565</v>
      </c>
      <c r="C4" s="22">
        <f aca="true" t="shared" si="0" ref="C4:C14">B4*0.1</f>
        <v>0.4565000000000001</v>
      </c>
      <c r="D4" s="22">
        <v>550</v>
      </c>
      <c r="E4" s="84">
        <f aca="true" t="shared" si="1" ref="E4:E18">D4/$D$19*$E$19</f>
        <v>2.8120451237263464</v>
      </c>
      <c r="F4" s="84">
        <f aca="true" t="shared" si="2" ref="F4:F14">B4+E4+C4</f>
        <v>7.833545123726347</v>
      </c>
      <c r="G4" s="145">
        <f aca="true" t="shared" si="3" ref="G4:G14">F4*$G$1</f>
        <v>500.72020430858817</v>
      </c>
      <c r="H4" s="119">
        <v>498</v>
      </c>
      <c r="I4" s="146">
        <f aca="true" t="shared" si="4" ref="I4:I14">H4-G4</f>
        <v>-2.7202043085881655</v>
      </c>
    </row>
    <row r="5" spans="1:9" s="15" customFormat="1" ht="15">
      <c r="A5" s="103" t="s">
        <v>283</v>
      </c>
      <c r="B5" s="22">
        <v>7.42</v>
      </c>
      <c r="C5" s="22">
        <f t="shared" si="0"/>
        <v>0.742</v>
      </c>
      <c r="D5" s="22">
        <v>45</v>
      </c>
      <c r="E5" s="84">
        <f t="shared" si="1"/>
        <v>0.2300764192139738</v>
      </c>
      <c r="F5" s="84">
        <f>B5+E5+C5</f>
        <v>8.392076419213975</v>
      </c>
      <c r="G5" s="145">
        <f t="shared" si="3"/>
        <v>536.4215247161573</v>
      </c>
      <c r="H5" s="119">
        <v>528</v>
      </c>
      <c r="I5" s="146">
        <f>H5-G5</f>
        <v>-8.42152471615725</v>
      </c>
    </row>
    <row r="6" spans="1:9" s="15" customFormat="1" ht="15">
      <c r="A6" s="103" t="s">
        <v>585</v>
      </c>
      <c r="B6" s="22">
        <v>7.08</v>
      </c>
      <c r="C6" s="22">
        <f t="shared" si="0"/>
        <v>0.7080000000000001</v>
      </c>
      <c r="D6" s="22">
        <v>1100</v>
      </c>
      <c r="E6" s="84">
        <f t="shared" si="1"/>
        <v>5.624090247452693</v>
      </c>
      <c r="F6" s="84">
        <f t="shared" si="2"/>
        <v>13.412090247452694</v>
      </c>
      <c r="G6" s="145">
        <f t="shared" si="3"/>
        <v>857.3008086171762</v>
      </c>
      <c r="H6" s="119">
        <f>848+9</f>
        <v>857</v>
      </c>
      <c r="I6" s="146">
        <f t="shared" si="4"/>
        <v>-0.3008086171762443</v>
      </c>
    </row>
    <row r="7" spans="1:9" s="8" customFormat="1" ht="15">
      <c r="A7" s="104" t="s">
        <v>882</v>
      </c>
      <c r="B7" s="22">
        <v>19.81</v>
      </c>
      <c r="C7" s="22">
        <f t="shared" si="0"/>
        <v>1.9809999999999999</v>
      </c>
      <c r="D7" s="22">
        <v>145</v>
      </c>
      <c r="E7" s="84">
        <f t="shared" si="1"/>
        <v>0.7413573508005822</v>
      </c>
      <c r="F7" s="84">
        <f t="shared" si="2"/>
        <v>22.53235735080058</v>
      </c>
      <c r="G7" s="145">
        <f t="shared" si="3"/>
        <v>1440.2682818631731</v>
      </c>
      <c r="H7" s="119">
        <v>1411</v>
      </c>
      <c r="I7" s="146">
        <f t="shared" si="4"/>
        <v>-29.268281863173115</v>
      </c>
    </row>
    <row r="8" spans="1:9" s="15" customFormat="1" ht="15">
      <c r="A8" s="103" t="s">
        <v>746</v>
      </c>
      <c r="B8" s="22">
        <v>5.18</v>
      </c>
      <c r="C8" s="22">
        <f t="shared" si="0"/>
        <v>0.518</v>
      </c>
      <c r="D8" s="22">
        <v>570</v>
      </c>
      <c r="E8" s="84">
        <f t="shared" si="1"/>
        <v>2.914301310043668</v>
      </c>
      <c r="F8" s="84">
        <f t="shared" si="2"/>
        <v>8.61230131004367</v>
      </c>
      <c r="G8" s="145">
        <f t="shared" si="3"/>
        <v>550.4982997379914</v>
      </c>
      <c r="H8" s="119">
        <f>528+10</f>
        <v>538</v>
      </c>
      <c r="I8" s="146">
        <f t="shared" si="4"/>
        <v>-12.498299737991374</v>
      </c>
    </row>
    <row r="9" spans="1:9" s="15" customFormat="1" ht="15">
      <c r="A9" s="103" t="s">
        <v>384</v>
      </c>
      <c r="B9" s="22">
        <v>38.16</v>
      </c>
      <c r="C9" s="22">
        <f t="shared" si="0"/>
        <v>3.816</v>
      </c>
      <c r="D9" s="22">
        <v>2730</v>
      </c>
      <c r="E9" s="84">
        <f t="shared" si="1"/>
        <v>13.95796943231441</v>
      </c>
      <c r="F9" s="84">
        <f t="shared" si="2"/>
        <v>55.93396943231441</v>
      </c>
      <c r="G9" s="145">
        <f t="shared" si="3"/>
        <v>3575.2993261135375</v>
      </c>
      <c r="H9" s="119">
        <f>3524+51</f>
        <v>3575</v>
      </c>
      <c r="I9" s="146">
        <f t="shared" si="4"/>
        <v>-0.2993261135375178</v>
      </c>
    </row>
    <row r="10" spans="1:9" s="15" customFormat="1" ht="15">
      <c r="A10" s="103" t="s">
        <v>514</v>
      </c>
      <c r="B10" s="22">
        <v>28.36</v>
      </c>
      <c r="C10" s="22">
        <f t="shared" si="0"/>
        <v>2.8360000000000003</v>
      </c>
      <c r="D10" s="22">
        <v>100</v>
      </c>
      <c r="E10" s="84">
        <f t="shared" si="1"/>
        <v>0.5112809315866085</v>
      </c>
      <c r="F10" s="84">
        <f t="shared" si="2"/>
        <v>31.70728093158661</v>
      </c>
      <c r="G10" s="145">
        <f t="shared" si="3"/>
        <v>2026.7293971470162</v>
      </c>
      <c r="H10" s="150">
        <v>1996</v>
      </c>
      <c r="I10" s="146">
        <f t="shared" si="4"/>
        <v>-30.729397147016243</v>
      </c>
    </row>
    <row r="11" spans="1:9" s="15" customFormat="1" ht="15">
      <c r="A11" s="103" t="s">
        <v>115</v>
      </c>
      <c r="B11" s="22">
        <v>17.83</v>
      </c>
      <c r="C11" s="22">
        <f>B11*0.1</f>
        <v>1.783</v>
      </c>
      <c r="D11" s="22">
        <v>680</v>
      </c>
      <c r="E11" s="84">
        <f t="shared" si="1"/>
        <v>3.476710334788937</v>
      </c>
      <c r="F11" s="84">
        <f>B11+E11+C11</f>
        <v>23.089710334788936</v>
      </c>
      <c r="G11" s="145">
        <f>F11*$G$1</f>
        <v>1475.894284599709</v>
      </c>
      <c r="H11" s="119">
        <v>1457</v>
      </c>
      <c r="I11" s="146">
        <f>H11-G11</f>
        <v>-18.894284599708953</v>
      </c>
    </row>
    <row r="12" spans="1:9" s="15" customFormat="1" ht="15">
      <c r="A12" s="103" t="s">
        <v>525</v>
      </c>
      <c r="B12" s="22">
        <v>20.8</v>
      </c>
      <c r="C12" s="22">
        <f>B12*0.1</f>
        <v>2.08</v>
      </c>
      <c r="D12" s="22">
        <v>1240</v>
      </c>
      <c r="E12" s="84">
        <f t="shared" si="1"/>
        <v>6.339883551673945</v>
      </c>
      <c r="F12" s="84">
        <f>B12+E12+C12</f>
        <v>29.219883551673945</v>
      </c>
      <c r="G12" s="145">
        <f>F12*$G$1</f>
        <v>1867.7349566229987</v>
      </c>
      <c r="H12" s="119">
        <v>1900</v>
      </c>
      <c r="I12" s="146">
        <f>H12-G12</f>
        <v>32.26504337700135</v>
      </c>
    </row>
    <row r="13" spans="1:9" s="15" customFormat="1" ht="15">
      <c r="A13" s="103" t="s">
        <v>589</v>
      </c>
      <c r="B13" s="22">
        <v>35.1</v>
      </c>
      <c r="C13" s="22">
        <f>B13*0.1</f>
        <v>3.5100000000000002</v>
      </c>
      <c r="D13" s="22">
        <v>720</v>
      </c>
      <c r="E13" s="84">
        <f t="shared" si="1"/>
        <v>3.6812227074235806</v>
      </c>
      <c r="F13" s="84">
        <f>B13+E13+C13</f>
        <v>42.29122270742358</v>
      </c>
      <c r="G13" s="145">
        <f>F13*$G$1</f>
        <v>2703.2549554585153</v>
      </c>
      <c r="H13" s="157">
        <f>2581+58</f>
        <v>2639</v>
      </c>
      <c r="I13" s="146">
        <f>H13-G13</f>
        <v>-64.25495545851527</v>
      </c>
    </row>
    <row r="14" spans="1:9" s="15" customFormat="1" ht="15">
      <c r="A14" s="103" t="s">
        <v>907</v>
      </c>
      <c r="B14" s="22">
        <v>12.495</v>
      </c>
      <c r="C14" s="22">
        <f t="shared" si="0"/>
        <v>1.2495</v>
      </c>
      <c r="D14" s="22">
        <v>460</v>
      </c>
      <c r="E14" s="84">
        <f t="shared" si="1"/>
        <v>2.351892285298399</v>
      </c>
      <c r="F14" s="84">
        <f t="shared" si="2"/>
        <v>16.0963922852984</v>
      </c>
      <c r="G14" s="145">
        <f t="shared" si="3"/>
        <v>1028.8813948762738</v>
      </c>
      <c r="H14" s="119">
        <f>1014+15</f>
        <v>1029</v>
      </c>
      <c r="I14" s="146">
        <f t="shared" si="4"/>
        <v>0.11860512372618359</v>
      </c>
    </row>
    <row r="15" spans="1:9" s="15" customFormat="1" ht="15">
      <c r="A15" s="103" t="s">
        <v>967</v>
      </c>
      <c r="B15" s="22">
        <v>19.55</v>
      </c>
      <c r="C15" s="22">
        <f>B15*0.1</f>
        <v>1.955</v>
      </c>
      <c r="D15" s="22">
        <v>370</v>
      </c>
      <c r="E15" s="84">
        <f t="shared" si="1"/>
        <v>1.8917394468704514</v>
      </c>
      <c r="F15" s="84">
        <f>B15+E15+C15</f>
        <v>23.396739446870455</v>
      </c>
      <c r="G15" s="145">
        <f>F15*$G$1</f>
        <v>1495.5195854439596</v>
      </c>
      <c r="H15" s="119">
        <f>1483+20</f>
        <v>1503</v>
      </c>
      <c r="I15" s="146">
        <f>H15-G15</f>
        <v>7.480414556040387</v>
      </c>
    </row>
    <row r="16" spans="1:9" s="15" customFormat="1" ht="15">
      <c r="A16" s="103" t="s">
        <v>174</v>
      </c>
      <c r="B16" s="22">
        <v>34.83</v>
      </c>
      <c r="C16" s="22">
        <f>B16*0.1</f>
        <v>3.483</v>
      </c>
      <c r="D16" s="22">
        <v>270</v>
      </c>
      <c r="E16" s="84">
        <f t="shared" si="1"/>
        <v>1.380458515283843</v>
      </c>
      <c r="F16" s="84">
        <f>B16+E16+C16</f>
        <v>39.69345851528384</v>
      </c>
      <c r="G16" s="145">
        <f>F16*$G$1</f>
        <v>2537.2058682969428</v>
      </c>
      <c r="H16" s="119">
        <f>2491+47</f>
        <v>2538</v>
      </c>
      <c r="I16" s="146">
        <f>H16-G16</f>
        <v>0.7941317030572463</v>
      </c>
    </row>
    <row r="17" spans="1:9" s="15" customFormat="1" ht="15">
      <c r="A17" s="103" t="s">
        <v>1097</v>
      </c>
      <c r="B17" s="22">
        <v>8.18</v>
      </c>
      <c r="C17" s="22">
        <f>B17*0.1</f>
        <v>0.8180000000000001</v>
      </c>
      <c r="D17" s="22">
        <v>80</v>
      </c>
      <c r="E17" s="84">
        <f t="shared" si="1"/>
        <v>0.4090247452692868</v>
      </c>
      <c r="F17" s="84">
        <f>B17+E17+C17</f>
        <v>9.407024745269286</v>
      </c>
      <c r="G17" s="145">
        <f>F17*$G$1</f>
        <v>601.2970217176128</v>
      </c>
      <c r="H17" s="119">
        <f>603+12</f>
        <v>615</v>
      </c>
      <c r="I17" s="146">
        <f>H17-G17</f>
        <v>13.702978282387221</v>
      </c>
    </row>
    <row r="18" spans="1:10" s="8" customFormat="1" ht="15">
      <c r="A18" s="103" t="s">
        <v>224</v>
      </c>
      <c r="B18" s="85"/>
      <c r="C18" s="85"/>
      <c r="D18" s="22">
        <v>4680</v>
      </c>
      <c r="E18" s="84">
        <f t="shared" si="1"/>
        <v>23.927947598253276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13740</v>
      </c>
      <c r="E19" s="1">
        <v>70.25</v>
      </c>
      <c r="F19" s="113"/>
      <c r="G19" s="28"/>
      <c r="H19" s="28"/>
      <c r="I19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80" zoomScaleNormal="80" zoomScalePageLayoutView="0" workbookViewId="0" topLeftCell="A1">
      <selection activeCell="H11" sqref="H11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42822</v>
      </c>
      <c r="C1" s="10"/>
      <c r="D1" s="10"/>
      <c r="E1" s="10"/>
      <c r="F1" s="11" t="s">
        <v>206</v>
      </c>
      <c r="G1" s="106">
        <f>61.392</f>
        <v>61.392</v>
      </c>
      <c r="H1" s="8" t="s">
        <v>207</v>
      </c>
      <c r="J1" s="154"/>
    </row>
    <row r="2" s="8" customFormat="1" ht="15">
      <c r="A2" s="33" t="s">
        <v>1121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174</v>
      </c>
      <c r="B4" s="22">
        <v>9.92</v>
      </c>
      <c r="C4" s="22">
        <f aca="true" t="shared" si="0" ref="C4:C10">B4*0.1</f>
        <v>0.992</v>
      </c>
      <c r="D4" s="22">
        <v>460</v>
      </c>
      <c r="E4" s="84">
        <f aca="true" t="shared" si="1" ref="E4:E11">D4/$D$12*$E$12</f>
        <v>2.479749001711352</v>
      </c>
      <c r="F4" s="84">
        <f aca="true" t="shared" si="2" ref="F4:F10">B4+E4+C4</f>
        <v>13.391749001711354</v>
      </c>
      <c r="G4" s="145">
        <f aca="true" t="shared" si="3" ref="G4:G10">F4*$G$1</f>
        <v>822.1462547130635</v>
      </c>
      <c r="H4" s="119">
        <v>847</v>
      </c>
      <c r="I4" s="146">
        <f aca="true" t="shared" si="4" ref="I4:I10">H4-G4</f>
        <v>24.853745286936487</v>
      </c>
    </row>
    <row r="5" spans="1:9" s="15" customFormat="1" ht="15">
      <c r="A5" s="103" t="s">
        <v>548</v>
      </c>
      <c r="B5" s="22">
        <v>52.1</v>
      </c>
      <c r="C5" s="22">
        <f t="shared" si="0"/>
        <v>5.210000000000001</v>
      </c>
      <c r="D5" s="22">
        <v>235</v>
      </c>
      <c r="E5" s="84">
        <f t="shared" si="1"/>
        <v>1.2668282943525384</v>
      </c>
      <c r="F5" s="84">
        <f>B5+E5+C5</f>
        <v>58.57682829435254</v>
      </c>
      <c r="G5" s="145">
        <f t="shared" si="3"/>
        <v>3596.1486426468914</v>
      </c>
      <c r="H5" s="150">
        <v>3694</v>
      </c>
      <c r="I5" s="146">
        <f>H5-G5</f>
        <v>97.8513573531086</v>
      </c>
    </row>
    <row r="6" spans="1:9" s="15" customFormat="1" ht="15">
      <c r="A6" s="103" t="s">
        <v>882</v>
      </c>
      <c r="B6" s="22">
        <v>20.11</v>
      </c>
      <c r="C6" s="22">
        <f t="shared" si="0"/>
        <v>2.011</v>
      </c>
      <c r="D6" s="22">
        <v>295</v>
      </c>
      <c r="E6" s="84">
        <f t="shared" si="1"/>
        <v>1.5902738163148888</v>
      </c>
      <c r="F6" s="84">
        <f t="shared" si="2"/>
        <v>23.711273816314886</v>
      </c>
      <c r="G6" s="145">
        <f t="shared" si="3"/>
        <v>1455.6825221312035</v>
      </c>
      <c r="H6" s="150">
        <v>1509</v>
      </c>
      <c r="I6" s="146">
        <f t="shared" si="4"/>
        <v>53.31747786879646</v>
      </c>
    </row>
    <row r="7" spans="1:9" s="8" customFormat="1" ht="15">
      <c r="A7" s="104" t="s">
        <v>1122</v>
      </c>
      <c r="B7" s="22">
        <v>24.83</v>
      </c>
      <c r="C7" s="22">
        <f t="shared" si="0"/>
        <v>2.483</v>
      </c>
      <c r="D7" s="22">
        <v>1050</v>
      </c>
      <c r="E7" s="84">
        <f t="shared" si="1"/>
        <v>5.66029663434113</v>
      </c>
      <c r="F7" s="84">
        <f t="shared" si="2"/>
        <v>32.973296634341125</v>
      </c>
      <c r="G7" s="145">
        <f t="shared" si="3"/>
        <v>2024.2966269754704</v>
      </c>
      <c r="H7" s="119">
        <f>1000+1089</f>
        <v>2089</v>
      </c>
      <c r="I7" s="146">
        <f t="shared" si="4"/>
        <v>64.70337302452958</v>
      </c>
    </row>
    <row r="8" spans="1:9" s="15" customFormat="1" ht="15">
      <c r="A8" s="103" t="s">
        <v>155</v>
      </c>
      <c r="B8" s="22">
        <v>6.5</v>
      </c>
      <c r="C8" s="22">
        <f t="shared" si="0"/>
        <v>0.65</v>
      </c>
      <c r="D8" s="22">
        <v>180</v>
      </c>
      <c r="E8" s="84">
        <f t="shared" si="1"/>
        <v>0.9703365658870508</v>
      </c>
      <c r="F8" s="84">
        <f t="shared" si="2"/>
        <v>8.120336565887051</v>
      </c>
      <c r="G8" s="145">
        <f t="shared" si="3"/>
        <v>498.52370245293787</v>
      </c>
      <c r="H8" s="119">
        <v>500</v>
      </c>
      <c r="I8" s="146">
        <f t="shared" si="4"/>
        <v>1.4762975470621313</v>
      </c>
    </row>
    <row r="9" spans="1:9" s="15" customFormat="1" ht="15">
      <c r="A9" s="103" t="s">
        <v>115</v>
      </c>
      <c r="B9" s="22">
        <v>16.55</v>
      </c>
      <c r="C9" s="22">
        <f t="shared" si="0"/>
        <v>1.6550000000000002</v>
      </c>
      <c r="D9" s="22">
        <v>515</v>
      </c>
      <c r="E9" s="84">
        <f t="shared" si="1"/>
        <v>2.7762407301768395</v>
      </c>
      <c r="F9" s="84">
        <f t="shared" si="2"/>
        <v>20.981240730176843</v>
      </c>
      <c r="G9" s="145">
        <f t="shared" si="3"/>
        <v>1288.0803309070168</v>
      </c>
      <c r="H9" s="119">
        <v>1337</v>
      </c>
      <c r="I9" s="146">
        <f t="shared" si="4"/>
        <v>48.91966909298321</v>
      </c>
    </row>
    <row r="10" spans="1:9" s="15" customFormat="1" ht="15">
      <c r="A10" s="103" t="s">
        <v>1123</v>
      </c>
      <c r="B10" s="22">
        <v>77.64</v>
      </c>
      <c r="C10" s="22">
        <f t="shared" si="0"/>
        <v>7.764</v>
      </c>
      <c r="D10" s="22">
        <v>510</v>
      </c>
      <c r="E10" s="84">
        <f t="shared" si="1"/>
        <v>2.7492869366799773</v>
      </c>
      <c r="F10" s="84">
        <f t="shared" si="2"/>
        <v>88.15328693667998</v>
      </c>
      <c r="G10" s="145">
        <f t="shared" si="3"/>
        <v>5411.906591616657</v>
      </c>
      <c r="H10" s="150">
        <f>3000+2412</f>
        <v>5412</v>
      </c>
      <c r="I10" s="146">
        <f t="shared" si="4"/>
        <v>0.09340838334264845</v>
      </c>
    </row>
    <row r="11" spans="1:10" s="8" customFormat="1" ht="15">
      <c r="A11" s="103" t="s">
        <v>224</v>
      </c>
      <c r="B11" s="85"/>
      <c r="C11" s="85"/>
      <c r="D11" s="22">
        <v>5520</v>
      </c>
      <c r="E11" s="84">
        <f t="shared" si="1"/>
        <v>29.756988020536223</v>
      </c>
      <c r="F11" s="85"/>
      <c r="G11" s="28"/>
      <c r="H11" s="156"/>
      <c r="I11" s="28"/>
      <c r="J11" s="32"/>
    </row>
    <row r="12" spans="1:9" s="8" customFormat="1" ht="15">
      <c r="A12" s="25"/>
      <c r="B12" s="86"/>
      <c r="C12" s="86"/>
      <c r="D12" s="86">
        <f>SUM(D4:D11)</f>
        <v>8765</v>
      </c>
      <c r="E12" s="1">
        <v>47.25</v>
      </c>
      <c r="F12" s="113"/>
      <c r="G12" s="28"/>
      <c r="H12" s="28"/>
      <c r="I12" s="28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6" sqref="H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42830</v>
      </c>
      <c r="C1" s="10"/>
      <c r="D1" s="10"/>
      <c r="E1" s="10"/>
      <c r="F1" s="11" t="s">
        <v>206</v>
      </c>
      <c r="G1" s="106">
        <v>62.34</v>
      </c>
      <c r="H1" s="8" t="s">
        <v>207</v>
      </c>
      <c r="J1" s="154"/>
    </row>
    <row r="2" s="8" customFormat="1" ht="15">
      <c r="A2" s="33" t="s">
        <v>1125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989</v>
      </c>
      <c r="B4" s="22">
        <v>5.75</v>
      </c>
      <c r="C4" s="22">
        <f aca="true" t="shared" si="0" ref="C4:C14">B4*0.1</f>
        <v>0.5750000000000001</v>
      </c>
      <c r="D4" s="22">
        <v>250</v>
      </c>
      <c r="E4" s="84">
        <f aca="true" t="shared" si="1" ref="E4:E16">D4/$D$17*$E$17</f>
        <v>1.2809992706053974</v>
      </c>
      <c r="F4" s="84">
        <f aca="true" t="shared" si="2" ref="F4:F14">B4+E4+C4</f>
        <v>7.605999270605397</v>
      </c>
      <c r="G4" s="145">
        <f aca="true" t="shared" si="3" ref="G4:G14">F4*$G$1</f>
        <v>474.1579945295405</v>
      </c>
      <c r="H4" s="119">
        <f>461+13</f>
        <v>474</v>
      </c>
      <c r="I4" s="146">
        <f aca="true" t="shared" si="4" ref="I4:I14">H4-G4</f>
        <v>-0.1579945295404741</v>
      </c>
    </row>
    <row r="5" spans="1:9" s="15" customFormat="1" ht="15">
      <c r="A5" s="103" t="s">
        <v>1126</v>
      </c>
      <c r="B5" s="22">
        <v>14.08</v>
      </c>
      <c r="C5" s="22">
        <f t="shared" si="0"/>
        <v>1.4080000000000001</v>
      </c>
      <c r="D5" s="22">
        <v>940</v>
      </c>
      <c r="E5" s="84">
        <f t="shared" si="1"/>
        <v>4.816557257476294</v>
      </c>
      <c r="F5" s="84">
        <f>B5+E5+C5</f>
        <v>20.304557257476297</v>
      </c>
      <c r="G5" s="145">
        <f t="shared" si="3"/>
        <v>1265.7860994310724</v>
      </c>
      <c r="H5" s="150">
        <f>1238+28</f>
        <v>1266</v>
      </c>
      <c r="I5" s="146">
        <f>H5-G5</f>
        <v>0.21390056892755638</v>
      </c>
    </row>
    <row r="6" spans="1:9" s="15" customFormat="1" ht="15">
      <c r="A6" s="103" t="s">
        <v>1127</v>
      </c>
      <c r="B6" s="22">
        <v>7.08</v>
      </c>
      <c r="C6" s="22">
        <f t="shared" si="0"/>
        <v>0.7080000000000001</v>
      </c>
      <c r="D6" s="22">
        <v>45</v>
      </c>
      <c r="E6" s="84">
        <f t="shared" si="1"/>
        <v>0.23057986870897154</v>
      </c>
      <c r="F6" s="84">
        <f t="shared" si="2"/>
        <v>8.018579868708972</v>
      </c>
      <c r="G6" s="145">
        <f t="shared" si="3"/>
        <v>499.87826901531736</v>
      </c>
      <c r="H6" s="119"/>
      <c r="I6" s="146">
        <f t="shared" si="4"/>
        <v>-499.87826901531736</v>
      </c>
    </row>
    <row r="7" spans="1:9" s="8" customFormat="1" ht="15">
      <c r="A7" s="104" t="s">
        <v>155</v>
      </c>
      <c r="B7" s="22">
        <v>6.5</v>
      </c>
      <c r="C7" s="22">
        <f t="shared" si="0"/>
        <v>0.65</v>
      </c>
      <c r="D7" s="22">
        <v>170</v>
      </c>
      <c r="E7" s="84">
        <f t="shared" si="1"/>
        <v>0.8710795040116703</v>
      </c>
      <c r="F7" s="84">
        <f t="shared" si="2"/>
        <v>8.02107950401167</v>
      </c>
      <c r="G7" s="145">
        <f t="shared" si="3"/>
        <v>500.0340962800875</v>
      </c>
      <c r="H7" s="119">
        <v>489</v>
      </c>
      <c r="I7" s="146">
        <f t="shared" si="4"/>
        <v>-11.03409628008751</v>
      </c>
    </row>
    <row r="8" spans="1:9" s="15" customFormat="1" ht="15">
      <c r="A8" s="103" t="s">
        <v>1105</v>
      </c>
      <c r="B8" s="22">
        <v>17.5</v>
      </c>
      <c r="C8" s="22">
        <f t="shared" si="0"/>
        <v>1.75</v>
      </c>
      <c r="D8" s="22">
        <v>1290</v>
      </c>
      <c r="E8" s="84">
        <f t="shared" si="1"/>
        <v>6.609956236323851</v>
      </c>
      <c r="F8" s="84">
        <f t="shared" si="2"/>
        <v>25.85995623632385</v>
      </c>
      <c r="G8" s="145">
        <f t="shared" si="3"/>
        <v>1612.1096717724288</v>
      </c>
      <c r="H8" s="119">
        <f>1594+18</f>
        <v>1612</v>
      </c>
      <c r="I8" s="146">
        <f t="shared" si="4"/>
        <v>-0.10967177242878279</v>
      </c>
    </row>
    <row r="9" spans="1:9" s="15" customFormat="1" ht="15">
      <c r="A9" s="103" t="s">
        <v>1128</v>
      </c>
      <c r="B9" s="22">
        <v>77.745</v>
      </c>
      <c r="C9" s="22">
        <f t="shared" si="0"/>
        <v>7.774500000000001</v>
      </c>
      <c r="D9" s="22">
        <v>1190</v>
      </c>
      <c r="E9" s="84">
        <f t="shared" si="1"/>
        <v>6.097556528081692</v>
      </c>
      <c r="F9" s="84">
        <f t="shared" si="2"/>
        <v>91.6170565280817</v>
      </c>
      <c r="G9" s="145">
        <f t="shared" si="3"/>
        <v>5711.407303960614</v>
      </c>
      <c r="H9" s="119">
        <f>5599+112</f>
        <v>5711</v>
      </c>
      <c r="I9" s="146">
        <f t="shared" si="4"/>
        <v>-0.4073039606137172</v>
      </c>
    </row>
    <row r="10" spans="1:9" s="15" customFormat="1" ht="15">
      <c r="A10" s="103" t="s">
        <v>1129</v>
      </c>
      <c r="B10" s="22">
        <v>22.415</v>
      </c>
      <c r="C10" s="22">
        <f t="shared" si="0"/>
        <v>2.2415</v>
      </c>
      <c r="D10" s="22">
        <v>920</v>
      </c>
      <c r="E10" s="84">
        <f t="shared" si="1"/>
        <v>4.714077315827862</v>
      </c>
      <c r="F10" s="84">
        <f t="shared" si="2"/>
        <v>29.37057731582786</v>
      </c>
      <c r="G10" s="145">
        <f t="shared" si="3"/>
        <v>1830.9617898687088</v>
      </c>
      <c r="H10" s="150">
        <f>1799+32</f>
        <v>1831</v>
      </c>
      <c r="I10" s="146">
        <f t="shared" si="4"/>
        <v>0.038210131291180005</v>
      </c>
    </row>
    <row r="11" spans="1:9" s="15" customFormat="1" ht="15">
      <c r="A11" s="103" t="s">
        <v>1130</v>
      </c>
      <c r="B11" s="22">
        <v>25.93</v>
      </c>
      <c r="C11" s="22">
        <f>B11*0.1</f>
        <v>2.593</v>
      </c>
      <c r="D11" s="22">
        <v>375</v>
      </c>
      <c r="E11" s="84">
        <f t="shared" si="1"/>
        <v>1.9214989059080962</v>
      </c>
      <c r="F11" s="84">
        <f>B11+E11+C11</f>
        <v>30.444498905908095</v>
      </c>
      <c r="G11" s="145">
        <f>F11*$G$1</f>
        <v>1897.9100617943106</v>
      </c>
      <c r="H11" s="119">
        <v>1900</v>
      </c>
      <c r="I11" s="146">
        <f>H11-G11</f>
        <v>2.08993820568935</v>
      </c>
    </row>
    <row r="12" spans="1:9" s="15" customFormat="1" ht="15">
      <c r="A12" s="103" t="s">
        <v>662</v>
      </c>
      <c r="B12" s="22">
        <v>39.41</v>
      </c>
      <c r="C12" s="22">
        <f>B12*0.1</f>
        <v>3.941</v>
      </c>
      <c r="D12" s="22">
        <v>1630</v>
      </c>
      <c r="E12" s="84">
        <f t="shared" si="1"/>
        <v>8.352115244347193</v>
      </c>
      <c r="F12" s="84">
        <f>B12+E12+C12</f>
        <v>51.70311524434719</v>
      </c>
      <c r="G12" s="145">
        <f>F12*$G$1</f>
        <v>3223.172204332604</v>
      </c>
      <c r="H12" s="119">
        <f>3140+80+80</f>
        <v>3300</v>
      </c>
      <c r="I12" s="146">
        <f>H12-G12</f>
        <v>76.827795667396</v>
      </c>
    </row>
    <row r="13" spans="1:9" s="15" customFormat="1" ht="15">
      <c r="A13" s="103" t="s">
        <v>1131</v>
      </c>
      <c r="B13" s="22">
        <v>23.67</v>
      </c>
      <c r="C13" s="22">
        <f>B13*0.1</f>
        <v>2.3670000000000004</v>
      </c>
      <c r="D13" s="22">
        <v>660</v>
      </c>
      <c r="E13" s="84">
        <f t="shared" si="1"/>
        <v>3.3818380743982495</v>
      </c>
      <c r="F13" s="84">
        <f>B13+E13+C13</f>
        <v>29.418838074398252</v>
      </c>
      <c r="G13" s="145">
        <f>F13*$G$1</f>
        <v>1833.9703655579872</v>
      </c>
      <c r="H13" s="157">
        <f>1781+53</f>
        <v>1834</v>
      </c>
      <c r="I13" s="146">
        <f>H13-G13</f>
        <v>0.029634442012820728</v>
      </c>
    </row>
    <row r="14" spans="1:9" s="15" customFormat="1" ht="15">
      <c r="A14" s="103" t="s">
        <v>998</v>
      </c>
      <c r="B14" s="22">
        <v>29</v>
      </c>
      <c r="C14" s="22">
        <f t="shared" si="0"/>
        <v>2.9000000000000004</v>
      </c>
      <c r="D14" s="22">
        <v>720</v>
      </c>
      <c r="E14" s="84">
        <f t="shared" si="1"/>
        <v>3.6892778993435447</v>
      </c>
      <c r="F14" s="84">
        <f t="shared" si="2"/>
        <v>35.58927789934354</v>
      </c>
      <c r="G14" s="145">
        <f t="shared" si="3"/>
        <v>2218.6355842450766</v>
      </c>
      <c r="H14" s="119">
        <f>2168+35</f>
        <v>2203</v>
      </c>
      <c r="I14" s="146">
        <f t="shared" si="4"/>
        <v>-15.635584245076643</v>
      </c>
    </row>
    <row r="15" spans="1:9" s="15" customFormat="1" ht="15">
      <c r="A15" s="103" t="s">
        <v>418</v>
      </c>
      <c r="B15" s="22">
        <v>55.49</v>
      </c>
      <c r="C15" s="22">
        <f>B15*0.1</f>
        <v>5.549</v>
      </c>
      <c r="D15" s="22">
        <v>850</v>
      </c>
      <c r="E15" s="84">
        <f t="shared" si="1"/>
        <v>4.355397520058351</v>
      </c>
      <c r="F15" s="84">
        <f>B15+E15+C15</f>
        <v>65.39439752005836</v>
      </c>
      <c r="G15" s="145">
        <f>F15*$G$1</f>
        <v>4076.6867414004387</v>
      </c>
      <c r="H15" s="119">
        <f>4005+72</f>
        <v>4077</v>
      </c>
      <c r="I15" s="146">
        <f>H15-G15</f>
        <v>0.3132585995613226</v>
      </c>
    </row>
    <row r="16" spans="1:10" s="8" customFormat="1" ht="15">
      <c r="A16" s="103" t="s">
        <v>224</v>
      </c>
      <c r="B16" s="85"/>
      <c r="C16" s="85"/>
      <c r="D16" s="22">
        <v>4670</v>
      </c>
      <c r="E16" s="84">
        <f t="shared" si="1"/>
        <v>23.929066374908825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13710</v>
      </c>
      <c r="E17" s="1">
        <v>70.25</v>
      </c>
      <c r="F17" s="113"/>
      <c r="G17" s="28"/>
      <c r="H17" s="28"/>
      <c r="I17" s="28"/>
    </row>
    <row r="20" ht="28.5">
      <c r="A20" s="107"/>
    </row>
    <row r="21" ht="28.5">
      <c r="A21" s="107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205</v>
      </c>
      <c r="B1" s="10">
        <v>42838</v>
      </c>
      <c r="C1" s="10"/>
      <c r="D1" s="10"/>
      <c r="E1" s="10"/>
      <c r="F1" s="11" t="s">
        <v>206</v>
      </c>
      <c r="G1" s="106">
        <v>61.62</v>
      </c>
      <c r="H1" s="8" t="s">
        <v>207</v>
      </c>
      <c r="J1" s="154"/>
    </row>
    <row r="2" s="8" customFormat="1" ht="15">
      <c r="A2" s="33" t="s">
        <v>1136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1137</v>
      </c>
      <c r="B4" s="22">
        <v>11.25</v>
      </c>
      <c r="C4" s="22">
        <f aca="true" t="shared" si="0" ref="C4:C14">B4*0.1</f>
        <v>1.125</v>
      </c>
      <c r="D4" s="22">
        <v>140</v>
      </c>
      <c r="E4" s="84">
        <f aca="true" t="shared" si="1" ref="E4:E19">D4/$D$20*$E$20</f>
        <v>0.7269031781226903</v>
      </c>
      <c r="F4" s="84">
        <f aca="true" t="shared" si="2" ref="F4:F14">B4+E4+C4</f>
        <v>13.10190317812269</v>
      </c>
      <c r="G4" s="145">
        <f aca="true" t="shared" si="3" ref="G4:G14">F4*$G$1</f>
        <v>807.3392738359202</v>
      </c>
      <c r="H4" s="119">
        <v>810</v>
      </c>
      <c r="I4" s="146">
        <f aca="true" t="shared" si="4" ref="I4:I14">H4-G4</f>
        <v>2.660726164079847</v>
      </c>
    </row>
    <row r="5" spans="1:9" s="15" customFormat="1" ht="15">
      <c r="A5" s="103" t="s">
        <v>1030</v>
      </c>
      <c r="B5" s="22">
        <v>11.18</v>
      </c>
      <c r="C5" s="22">
        <f t="shared" si="0"/>
        <v>1.118</v>
      </c>
      <c r="D5" s="22">
        <v>350</v>
      </c>
      <c r="E5" s="84">
        <f t="shared" si="1"/>
        <v>1.8172579453067257</v>
      </c>
      <c r="F5" s="84">
        <f>B5+E5+C5</f>
        <v>14.115257945306725</v>
      </c>
      <c r="G5" s="145">
        <f t="shared" si="3"/>
        <v>869.7821945898004</v>
      </c>
      <c r="H5" s="119">
        <v>951</v>
      </c>
      <c r="I5" s="146">
        <f>H5-G5</f>
        <v>81.21780541019962</v>
      </c>
    </row>
    <row r="6" spans="1:9" s="15" customFormat="1" ht="15">
      <c r="A6" s="103" t="s">
        <v>548</v>
      </c>
      <c r="B6" s="22">
        <v>9.08</v>
      </c>
      <c r="C6" s="22">
        <f t="shared" si="0"/>
        <v>0.908</v>
      </c>
      <c r="D6" s="22">
        <v>65</v>
      </c>
      <c r="E6" s="84">
        <f t="shared" si="1"/>
        <v>0.3374907612712491</v>
      </c>
      <c r="F6" s="84">
        <f t="shared" si="2"/>
        <v>10.325490761271249</v>
      </c>
      <c r="G6" s="145">
        <f t="shared" si="3"/>
        <v>636.2567407095344</v>
      </c>
      <c r="H6" s="119">
        <v>540</v>
      </c>
      <c r="I6" s="146">
        <f t="shared" si="4"/>
        <v>-96.25674070953437</v>
      </c>
    </row>
    <row r="7" spans="1:9" s="8" customFormat="1" ht="15">
      <c r="A7" s="104" t="s">
        <v>354</v>
      </c>
      <c r="B7" s="22">
        <v>2.04</v>
      </c>
      <c r="C7" s="22">
        <f t="shared" si="0"/>
        <v>0.20400000000000001</v>
      </c>
      <c r="D7" s="22">
        <v>75</v>
      </c>
      <c r="E7" s="84">
        <f t="shared" si="1"/>
        <v>0.3894124168514413</v>
      </c>
      <c r="F7" s="84">
        <f t="shared" si="2"/>
        <v>2.6334124168514417</v>
      </c>
      <c r="G7" s="145">
        <f t="shared" si="3"/>
        <v>162.27087312638582</v>
      </c>
      <c r="H7" s="150">
        <v>158</v>
      </c>
      <c r="I7" s="146">
        <f t="shared" si="4"/>
        <v>-4.270873126385823</v>
      </c>
    </row>
    <row r="8" spans="1:9" s="15" customFormat="1" ht="15">
      <c r="A8" s="103" t="s">
        <v>1138</v>
      </c>
      <c r="B8" s="22">
        <v>2.04</v>
      </c>
      <c r="C8" s="22">
        <f t="shared" si="0"/>
        <v>0.20400000000000001</v>
      </c>
      <c r="D8" s="22">
        <v>75</v>
      </c>
      <c r="E8" s="84">
        <f t="shared" si="1"/>
        <v>0.3894124168514413</v>
      </c>
      <c r="F8" s="84">
        <f t="shared" si="2"/>
        <v>2.6334124168514417</v>
      </c>
      <c r="G8" s="145">
        <f t="shared" si="3"/>
        <v>162.27087312638582</v>
      </c>
      <c r="H8" s="119">
        <f>23+135</f>
        <v>158</v>
      </c>
      <c r="I8" s="146">
        <f t="shared" si="4"/>
        <v>-4.270873126385823</v>
      </c>
    </row>
    <row r="9" spans="1:9" s="15" customFormat="1" ht="15">
      <c r="A9" s="103" t="s">
        <v>1139</v>
      </c>
      <c r="B9" s="22">
        <v>4.08</v>
      </c>
      <c r="C9" s="22">
        <f t="shared" si="0"/>
        <v>0.40800000000000003</v>
      </c>
      <c r="D9" s="22">
        <v>150</v>
      </c>
      <c r="E9" s="84">
        <f t="shared" si="1"/>
        <v>0.7788248337028826</v>
      </c>
      <c r="F9" s="84">
        <f t="shared" si="2"/>
        <v>5.266824833702883</v>
      </c>
      <c r="G9" s="145">
        <f t="shared" si="3"/>
        <v>324.54174625277165</v>
      </c>
      <c r="H9" s="150">
        <v>316</v>
      </c>
      <c r="I9" s="146">
        <f t="shared" si="4"/>
        <v>-8.541746252771645</v>
      </c>
    </row>
    <row r="10" spans="1:9" s="15" customFormat="1" ht="15">
      <c r="A10" s="103" t="s">
        <v>126</v>
      </c>
      <c r="B10" s="22">
        <v>4.08</v>
      </c>
      <c r="C10" s="22">
        <f t="shared" si="0"/>
        <v>0.40800000000000003</v>
      </c>
      <c r="D10" s="22">
        <v>150</v>
      </c>
      <c r="E10" s="84">
        <f t="shared" si="1"/>
        <v>0.7788248337028826</v>
      </c>
      <c r="F10" s="84">
        <f t="shared" si="2"/>
        <v>5.266824833702883</v>
      </c>
      <c r="G10" s="145">
        <f t="shared" si="3"/>
        <v>324.54174625277165</v>
      </c>
      <c r="H10" s="119">
        <v>315</v>
      </c>
      <c r="I10" s="146">
        <f t="shared" si="4"/>
        <v>-9.541746252771645</v>
      </c>
    </row>
    <row r="11" spans="1:9" s="15" customFormat="1" ht="15">
      <c r="A11" s="103" t="s">
        <v>630</v>
      </c>
      <c r="B11" s="22">
        <v>9.67</v>
      </c>
      <c r="C11" s="22">
        <f>B11*0.1</f>
        <v>0.9670000000000001</v>
      </c>
      <c r="D11" s="22">
        <v>130</v>
      </c>
      <c r="E11" s="84">
        <f t="shared" si="1"/>
        <v>0.6749815225424982</v>
      </c>
      <c r="F11" s="84">
        <f>B11+E11+C11</f>
        <v>11.3119815225425</v>
      </c>
      <c r="G11" s="145">
        <f>F11*$G$1</f>
        <v>697.0443014190688</v>
      </c>
      <c r="H11" s="119">
        <v>697</v>
      </c>
      <c r="I11" s="146">
        <f>H11-G11</f>
        <v>-0.044301419068801806</v>
      </c>
    </row>
    <row r="12" spans="1:9" s="15" customFormat="1" ht="15">
      <c r="A12" s="103" t="s">
        <v>587</v>
      </c>
      <c r="B12" s="22">
        <v>11.58</v>
      </c>
      <c r="C12" s="22">
        <f>B12*0.1</f>
        <v>1.1580000000000001</v>
      </c>
      <c r="D12" s="22">
        <v>40</v>
      </c>
      <c r="E12" s="84">
        <f t="shared" si="1"/>
        <v>0.20768662232076865</v>
      </c>
      <c r="F12" s="84">
        <f>B12+E12+C12</f>
        <v>12.945686622320768</v>
      </c>
      <c r="G12" s="145">
        <f>F12*$G$1</f>
        <v>797.7132096674056</v>
      </c>
      <c r="H12" s="119">
        <v>793</v>
      </c>
      <c r="I12" s="146">
        <f>H12-G12</f>
        <v>-4.713209667405636</v>
      </c>
    </row>
    <row r="13" spans="1:9" s="15" customFormat="1" ht="15">
      <c r="A13" s="103" t="s">
        <v>1140</v>
      </c>
      <c r="B13" s="22">
        <v>34.66</v>
      </c>
      <c r="C13" s="22">
        <f>B13*0.1</f>
        <v>3.4659999999999997</v>
      </c>
      <c r="D13" s="22">
        <v>1285</v>
      </c>
      <c r="E13" s="84">
        <f t="shared" si="1"/>
        <v>6.671932742054693</v>
      </c>
      <c r="F13" s="84">
        <f>B13+E13+C13</f>
        <v>44.79793274205469</v>
      </c>
      <c r="G13" s="145">
        <f>F13*$G$1</f>
        <v>2760.44861556541</v>
      </c>
      <c r="H13" s="119">
        <v>2755</v>
      </c>
      <c r="I13" s="146">
        <f>H13-G13</f>
        <v>-5.448615565409909</v>
      </c>
    </row>
    <row r="14" spans="1:9" s="15" customFormat="1" ht="15">
      <c r="A14" s="103" t="s">
        <v>1141</v>
      </c>
      <c r="B14" s="108">
        <v>4.92</v>
      </c>
      <c r="C14" s="22">
        <f t="shared" si="0"/>
        <v>0.492</v>
      </c>
      <c r="D14" s="108">
        <v>220</v>
      </c>
      <c r="E14" s="84">
        <f t="shared" si="1"/>
        <v>1.1422764227642277</v>
      </c>
      <c r="F14" s="84">
        <f t="shared" si="2"/>
        <v>6.554276422764228</v>
      </c>
      <c r="G14" s="145">
        <f t="shared" si="3"/>
        <v>403.8745131707317</v>
      </c>
      <c r="H14" s="119">
        <v>392</v>
      </c>
      <c r="I14" s="146">
        <f t="shared" si="4"/>
        <v>-11.874513170731689</v>
      </c>
    </row>
    <row r="15" spans="1:9" s="15" customFormat="1" ht="15">
      <c r="A15" s="103" t="s">
        <v>178</v>
      </c>
      <c r="B15" s="22">
        <v>22.83</v>
      </c>
      <c r="C15" s="22">
        <f>B15*0.1</f>
        <v>2.283</v>
      </c>
      <c r="D15" s="22">
        <v>370</v>
      </c>
      <c r="E15" s="84">
        <f t="shared" si="1"/>
        <v>1.9211012564671102</v>
      </c>
      <c r="F15" s="84">
        <f>B15+E15+C15</f>
        <v>27.03410125646711</v>
      </c>
      <c r="G15" s="145">
        <f>F15*$G$1</f>
        <v>1665.8413194235034</v>
      </c>
      <c r="H15" s="119">
        <v>1654</v>
      </c>
      <c r="I15" s="146">
        <f>H15-G15</f>
        <v>-11.841319423503364</v>
      </c>
    </row>
    <row r="16" spans="1:9" s="15" customFormat="1" ht="15">
      <c r="A16" s="103" t="s">
        <v>254</v>
      </c>
      <c r="B16" s="22">
        <v>42.79</v>
      </c>
      <c r="C16" s="22">
        <f>B16*0.1</f>
        <v>4.279</v>
      </c>
      <c r="D16" s="22">
        <v>960</v>
      </c>
      <c r="E16" s="84">
        <f>D16/$D$20*$E$20</f>
        <v>4.984478935698448</v>
      </c>
      <c r="F16" s="84">
        <f>B16+E16+C16</f>
        <v>52.05347893569845</v>
      </c>
      <c r="G16" s="145">
        <f>F16*$G$1</f>
        <v>3207.535372017738</v>
      </c>
      <c r="H16" s="119">
        <v>3172</v>
      </c>
      <c r="I16" s="146">
        <f>H16-G16</f>
        <v>-35.535372017738155</v>
      </c>
    </row>
    <row r="17" spans="1:9" s="15" customFormat="1" ht="15">
      <c r="A17" s="103" t="s">
        <v>115</v>
      </c>
      <c r="B17" s="22">
        <v>21.33</v>
      </c>
      <c r="C17" s="22">
        <f>B17*0.1</f>
        <v>2.133</v>
      </c>
      <c r="D17" s="22">
        <v>1180</v>
      </c>
      <c r="E17" s="84">
        <f>D17/$D$20*$E$20</f>
        <v>6.126755358462676</v>
      </c>
      <c r="F17" s="84">
        <f>B17+E17+C17</f>
        <v>29.58975535846267</v>
      </c>
      <c r="G17" s="145">
        <f>F17*$G$1</f>
        <v>1823.3207251884696</v>
      </c>
      <c r="H17" s="119">
        <v>1809</v>
      </c>
      <c r="I17" s="146">
        <f>H17-G17</f>
        <v>-14.320725188469623</v>
      </c>
    </row>
    <row r="18" spans="1:9" s="15" customFormat="1" ht="15">
      <c r="A18" s="103" t="s">
        <v>174</v>
      </c>
      <c r="B18" s="22">
        <v>15.25</v>
      </c>
      <c r="C18" s="22">
        <f>B18*0.1</f>
        <v>1.5250000000000001</v>
      </c>
      <c r="D18" s="22">
        <v>495</v>
      </c>
      <c r="E18" s="84">
        <f>D18/$D$20*$E$20</f>
        <v>2.570121951219512</v>
      </c>
      <c r="F18" s="84">
        <f>B18+E18+C18</f>
        <v>19.34512195121951</v>
      </c>
      <c r="G18" s="145">
        <f>F18*$G$1</f>
        <v>1192.0464146341462</v>
      </c>
      <c r="H18" s="119">
        <v>1139</v>
      </c>
      <c r="I18" s="146">
        <f>H18-G18</f>
        <v>-53.04641463414623</v>
      </c>
    </row>
    <row r="19" spans="1:10" s="8" customFormat="1" ht="15">
      <c r="A19" s="103" t="s">
        <v>224</v>
      </c>
      <c r="B19" s="85"/>
      <c r="C19" s="85"/>
      <c r="D19" s="22">
        <v>7845</v>
      </c>
      <c r="E19" s="84">
        <f t="shared" si="1"/>
        <v>40.732538802660756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13530</v>
      </c>
      <c r="E20" s="1">
        <v>70.25</v>
      </c>
      <c r="F20" s="113"/>
      <c r="G20" s="28"/>
      <c r="H20" s="28"/>
      <c r="I20" s="28"/>
    </row>
    <row r="23" ht="28.5">
      <c r="A23" s="107"/>
    </row>
    <row r="24" ht="28.5">
      <c r="A24" s="107"/>
    </row>
    <row r="25" ht="28.5">
      <c r="A25" s="107"/>
    </row>
    <row r="26" ht="28.5">
      <c r="A26" s="107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205</v>
      </c>
      <c r="B1" s="10">
        <v>42845</v>
      </c>
      <c r="C1" s="10"/>
      <c r="D1" s="10"/>
      <c r="E1" s="10"/>
      <c r="F1" s="11" t="s">
        <v>206</v>
      </c>
      <c r="G1" s="106">
        <v>62.13</v>
      </c>
      <c r="H1" s="8" t="s">
        <v>207</v>
      </c>
      <c r="J1" s="154"/>
    </row>
    <row r="2" s="8" customFormat="1" ht="15">
      <c r="A2" s="33" t="s">
        <v>1148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145</v>
      </c>
      <c r="B4" s="22">
        <v>21.71</v>
      </c>
      <c r="C4" s="22">
        <f aca="true" t="shared" si="0" ref="C4:C14">B4*0.1</f>
        <v>2.1710000000000003</v>
      </c>
      <c r="D4" s="22">
        <v>185</v>
      </c>
      <c r="E4" s="84">
        <f aca="true" t="shared" si="1" ref="E4:E19">D4/$D$20*$E$20</f>
        <v>0.9584255162241888</v>
      </c>
      <c r="F4" s="84">
        <f aca="true" t="shared" si="2" ref="F4:F14">B4+E4+C4</f>
        <v>24.83942551622419</v>
      </c>
      <c r="G4" s="145">
        <f aca="true" t="shared" si="3" ref="G4:G14">F4*$G$1</f>
        <v>1543.273507323009</v>
      </c>
      <c r="H4" s="119">
        <v>1541</v>
      </c>
      <c r="I4" s="146">
        <f aca="true" t="shared" si="4" ref="I4:I14">H4-G4</f>
        <v>-2.273507323008971</v>
      </c>
    </row>
    <row r="5" spans="1:9" s="15" customFormat="1" ht="15">
      <c r="A5" s="103" t="s">
        <v>780</v>
      </c>
      <c r="B5" s="22">
        <v>4.18</v>
      </c>
      <c r="C5" s="22">
        <f t="shared" si="0"/>
        <v>0.418</v>
      </c>
      <c r="D5" s="22">
        <v>30</v>
      </c>
      <c r="E5" s="84">
        <f t="shared" si="1"/>
        <v>0.1554203539823009</v>
      </c>
      <c r="F5" s="84">
        <f>B5+E5+C5</f>
        <v>4.753420353982301</v>
      </c>
      <c r="G5" s="145">
        <f t="shared" si="3"/>
        <v>295.33000659292037</v>
      </c>
      <c r="H5" s="119">
        <v>290</v>
      </c>
      <c r="I5" s="146">
        <f>H5-G5</f>
        <v>-5.33000659292037</v>
      </c>
    </row>
    <row r="6" spans="1:9" s="15" customFormat="1" ht="15">
      <c r="A6" s="103" t="s">
        <v>74</v>
      </c>
      <c r="B6" s="22">
        <v>14.99</v>
      </c>
      <c r="C6" s="22">
        <f t="shared" si="0"/>
        <v>1.499</v>
      </c>
      <c r="D6" s="22">
        <v>1100</v>
      </c>
      <c r="E6" s="84">
        <f t="shared" si="1"/>
        <v>5.698746312684366</v>
      </c>
      <c r="F6" s="84">
        <f t="shared" si="2"/>
        <v>22.187746312684364</v>
      </c>
      <c r="G6" s="145">
        <f t="shared" si="3"/>
        <v>1378.5246784070796</v>
      </c>
      <c r="H6" s="119">
        <v>1397</v>
      </c>
      <c r="I6" s="146">
        <f t="shared" si="4"/>
        <v>18.47532159292041</v>
      </c>
    </row>
    <row r="7" spans="1:9" s="8" customFormat="1" ht="15">
      <c r="A7" s="104" t="s">
        <v>1149</v>
      </c>
      <c r="B7" s="22">
        <v>14.99</v>
      </c>
      <c r="C7" s="22">
        <f t="shared" si="0"/>
        <v>1.499</v>
      </c>
      <c r="D7" s="22">
        <v>1100</v>
      </c>
      <c r="E7" s="84">
        <f t="shared" si="1"/>
        <v>5.698746312684366</v>
      </c>
      <c r="F7" s="84">
        <f t="shared" si="2"/>
        <v>22.187746312684364</v>
      </c>
      <c r="G7" s="145">
        <f t="shared" si="3"/>
        <v>1378.5246784070796</v>
      </c>
      <c r="H7" s="119">
        <v>1389</v>
      </c>
      <c r="I7" s="146">
        <f t="shared" si="4"/>
        <v>10.475321592920409</v>
      </c>
    </row>
    <row r="8" spans="1:9" s="15" customFormat="1" ht="15">
      <c r="A8" s="103" t="s">
        <v>921</v>
      </c>
      <c r="B8" s="22">
        <v>10.42</v>
      </c>
      <c r="C8" s="22">
        <f t="shared" si="0"/>
        <v>1.042</v>
      </c>
      <c r="D8" s="22">
        <v>350</v>
      </c>
      <c r="E8" s="84">
        <f t="shared" si="1"/>
        <v>1.8132374631268435</v>
      </c>
      <c r="F8" s="84">
        <f t="shared" si="2"/>
        <v>13.275237463126844</v>
      </c>
      <c r="G8" s="145">
        <f t="shared" si="3"/>
        <v>824.7905035840708</v>
      </c>
      <c r="H8" s="119">
        <v>752</v>
      </c>
      <c r="I8" s="146">
        <f t="shared" si="4"/>
        <v>-72.79050358407085</v>
      </c>
    </row>
    <row r="9" spans="1:9" s="15" customFormat="1" ht="15">
      <c r="A9" s="103" t="s">
        <v>960</v>
      </c>
      <c r="B9" s="22">
        <v>4.125</v>
      </c>
      <c r="C9" s="22">
        <f t="shared" si="0"/>
        <v>0.41250000000000003</v>
      </c>
      <c r="D9" s="22">
        <v>245</v>
      </c>
      <c r="E9" s="84">
        <f t="shared" si="1"/>
        <v>1.2692662241887906</v>
      </c>
      <c r="F9" s="84">
        <f t="shared" si="2"/>
        <v>5.80676622418879</v>
      </c>
      <c r="G9" s="145">
        <f t="shared" si="3"/>
        <v>360.77438550884955</v>
      </c>
      <c r="H9" s="119">
        <v>355.53</v>
      </c>
      <c r="I9" s="146">
        <f t="shared" si="4"/>
        <v>-5.244385508849575</v>
      </c>
    </row>
    <row r="10" spans="1:9" s="15" customFormat="1" ht="15">
      <c r="A10" s="103" t="s">
        <v>330</v>
      </c>
      <c r="B10" s="22">
        <v>4.125</v>
      </c>
      <c r="C10" s="22">
        <f t="shared" si="0"/>
        <v>0.41250000000000003</v>
      </c>
      <c r="D10" s="22">
        <v>245</v>
      </c>
      <c r="E10" s="84">
        <f t="shared" si="1"/>
        <v>1.2692662241887906</v>
      </c>
      <c r="F10" s="84">
        <f t="shared" si="2"/>
        <v>5.80676622418879</v>
      </c>
      <c r="G10" s="145">
        <f t="shared" si="3"/>
        <v>360.77438550884955</v>
      </c>
      <c r="H10" s="119">
        <v>362</v>
      </c>
      <c r="I10" s="146">
        <f t="shared" si="4"/>
        <v>1.225614491150452</v>
      </c>
    </row>
    <row r="11" spans="1:9" s="15" customFormat="1" ht="15">
      <c r="A11" s="103" t="s">
        <v>724</v>
      </c>
      <c r="B11" s="22">
        <v>10.56</v>
      </c>
      <c r="C11" s="22">
        <f>B11*0.1</f>
        <v>1.056</v>
      </c>
      <c r="D11" s="22">
        <v>350</v>
      </c>
      <c r="E11" s="84">
        <f t="shared" si="1"/>
        <v>1.8132374631268435</v>
      </c>
      <c r="F11" s="84">
        <f>B11+E11+C11</f>
        <v>13.429237463126846</v>
      </c>
      <c r="G11" s="145">
        <f>F11*$G$1</f>
        <v>834.358523584071</v>
      </c>
      <c r="H11" s="119">
        <v>832</v>
      </c>
      <c r="I11" s="146">
        <f>H11-G11</f>
        <v>-2.3585235840710084</v>
      </c>
    </row>
    <row r="12" spans="1:9" s="15" customFormat="1" ht="15">
      <c r="A12" s="103" t="s">
        <v>127</v>
      </c>
      <c r="B12" s="22">
        <v>15.61</v>
      </c>
      <c r="C12" s="22">
        <f>B12*0.1</f>
        <v>1.561</v>
      </c>
      <c r="D12" s="22">
        <v>300</v>
      </c>
      <c r="E12" s="84">
        <f t="shared" si="1"/>
        <v>1.5542035398230087</v>
      </c>
      <c r="F12" s="84">
        <f>B12+E12+C12</f>
        <v>18.725203539823006</v>
      </c>
      <c r="G12" s="145">
        <f>F12*$G$1</f>
        <v>1163.3968959292035</v>
      </c>
      <c r="H12" s="119">
        <v>1160</v>
      </c>
      <c r="I12" s="146">
        <f>H12-G12</f>
        <v>-3.396895929203538</v>
      </c>
    </row>
    <row r="13" spans="1:9" s="15" customFormat="1" ht="15">
      <c r="A13" s="103" t="s">
        <v>882</v>
      </c>
      <c r="B13" s="22">
        <v>20.34</v>
      </c>
      <c r="C13" s="22">
        <f>B13*0.1</f>
        <v>2.0340000000000003</v>
      </c>
      <c r="D13" s="22">
        <v>210</v>
      </c>
      <c r="E13" s="84">
        <f t="shared" si="1"/>
        <v>1.0879424778761062</v>
      </c>
      <c r="F13" s="84">
        <f>B13+E13+C13</f>
        <v>23.461942477876104</v>
      </c>
      <c r="G13" s="145">
        <f>F13*$G$1</f>
        <v>1457.6904861504424</v>
      </c>
      <c r="H13" s="119">
        <v>1448</v>
      </c>
      <c r="I13" s="146">
        <f>H13-G13</f>
        <v>-9.690486150442439</v>
      </c>
    </row>
    <row r="14" spans="1:9" s="15" customFormat="1" ht="15">
      <c r="A14" s="103" t="s">
        <v>1150</v>
      </c>
      <c r="B14" s="108">
        <v>20.53</v>
      </c>
      <c r="C14" s="22">
        <f t="shared" si="0"/>
        <v>2.0530000000000004</v>
      </c>
      <c r="D14" s="108">
        <v>570</v>
      </c>
      <c r="E14" s="84">
        <f t="shared" si="1"/>
        <v>2.9529867256637172</v>
      </c>
      <c r="F14" s="84">
        <f t="shared" si="2"/>
        <v>25.53598672566372</v>
      </c>
      <c r="G14" s="145">
        <f t="shared" si="3"/>
        <v>1586.550855265487</v>
      </c>
      <c r="H14" s="150">
        <v>1580</v>
      </c>
      <c r="I14" s="146">
        <f t="shared" si="4"/>
        <v>-6.550855265486916</v>
      </c>
    </row>
    <row r="15" spans="1:9" s="15" customFormat="1" ht="15">
      <c r="A15" s="103" t="s">
        <v>512</v>
      </c>
      <c r="B15" s="22">
        <v>42.75</v>
      </c>
      <c r="C15" s="22">
        <f>B15*0.1</f>
        <v>4.275</v>
      </c>
      <c r="D15" s="22">
        <v>350</v>
      </c>
      <c r="E15" s="84">
        <f t="shared" si="1"/>
        <v>1.8132374631268435</v>
      </c>
      <c r="F15" s="84">
        <f>B15+E15+C15</f>
        <v>48.838237463126845</v>
      </c>
      <c r="G15" s="145">
        <f>F15*$G$1</f>
        <v>3034.319693584071</v>
      </c>
      <c r="H15" s="119">
        <v>3004</v>
      </c>
      <c r="I15" s="146">
        <f>H15-G15</f>
        <v>-30.319693584071047</v>
      </c>
    </row>
    <row r="16" spans="1:9" s="15" customFormat="1" ht="15">
      <c r="A16" s="103" t="s">
        <v>1087</v>
      </c>
      <c r="B16" s="22">
        <v>9.08</v>
      </c>
      <c r="C16" s="22">
        <f>B16*0.1</f>
        <v>0.908</v>
      </c>
      <c r="D16" s="22">
        <v>590</v>
      </c>
      <c r="E16" s="84">
        <f>D16/$D$20*$E$20</f>
        <v>3.056600294985251</v>
      </c>
      <c r="F16" s="84">
        <f>B16+E16+C16</f>
        <v>13.04460029498525</v>
      </c>
      <c r="G16" s="145">
        <f>F16*$G$1</f>
        <v>810.4610163274336</v>
      </c>
      <c r="H16" s="119">
        <v>810</v>
      </c>
      <c r="I16" s="146">
        <f>H16-G16</f>
        <v>-0.46101632743364007</v>
      </c>
    </row>
    <row r="17" spans="1:9" s="15" customFormat="1" ht="15">
      <c r="A17" s="103" t="s">
        <v>95</v>
      </c>
      <c r="B17" s="22">
        <v>46.5</v>
      </c>
      <c r="C17" s="22">
        <f>B17*0.1</f>
        <v>4.65</v>
      </c>
      <c r="D17" s="22">
        <v>190</v>
      </c>
      <c r="E17" s="84">
        <f>D17/$D$20*$E$20</f>
        <v>0.9843289085545722</v>
      </c>
      <c r="F17" s="84">
        <f>B17+E17+C17</f>
        <v>52.13432890855457</v>
      </c>
      <c r="G17" s="145">
        <f>F17*$G$1</f>
        <v>3239.105855088496</v>
      </c>
      <c r="H17" s="119">
        <f>3196+36</f>
        <v>3232</v>
      </c>
      <c r="I17" s="146">
        <f>H17-G17</f>
        <v>-7.1058550884959</v>
      </c>
    </row>
    <row r="18" spans="1:9" s="15" customFormat="1" ht="15">
      <c r="A18" s="103" t="s">
        <v>1127</v>
      </c>
      <c r="B18" s="22">
        <v>17.33</v>
      </c>
      <c r="C18" s="22">
        <f>B18*0.1</f>
        <v>1.7329999999999999</v>
      </c>
      <c r="D18" s="22">
        <v>450</v>
      </c>
      <c r="E18" s="84">
        <f>D18/$D$20*$E$20</f>
        <v>2.3313053097345136</v>
      </c>
      <c r="F18" s="84">
        <f>B18+E18+C18</f>
        <v>21.394305309734513</v>
      </c>
      <c r="G18" s="145">
        <f>F18*$G$1</f>
        <v>1329.2281888938053</v>
      </c>
      <c r="H18" s="119">
        <v>1753</v>
      </c>
      <c r="I18" s="146">
        <f>H18-G18</f>
        <v>423.7718111061947</v>
      </c>
    </row>
    <row r="19" spans="1:10" s="8" customFormat="1" ht="15">
      <c r="A19" s="103" t="s">
        <v>224</v>
      </c>
      <c r="B19" s="85"/>
      <c r="C19" s="85"/>
      <c r="D19" s="22">
        <v>7295</v>
      </c>
      <c r="E19" s="84">
        <f t="shared" si="1"/>
        <v>37.793049410029504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13560</v>
      </c>
      <c r="E20" s="1">
        <v>70.25</v>
      </c>
      <c r="F20" s="113"/>
      <c r="G20" s="28"/>
      <c r="H20" s="28"/>
      <c r="I20" s="28"/>
    </row>
    <row r="23" ht="28.5">
      <c r="A23" s="107"/>
    </row>
    <row r="24" ht="28.5">
      <c r="A24" s="107"/>
    </row>
    <row r="25" ht="28.5">
      <c r="A25" s="107"/>
    </row>
    <row r="26" ht="28.5">
      <c r="A26" s="107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205</v>
      </c>
      <c r="B1" s="10">
        <v>42852</v>
      </c>
      <c r="C1" s="10"/>
      <c r="D1" s="10"/>
      <c r="E1" s="10"/>
      <c r="F1" s="11" t="s">
        <v>206</v>
      </c>
      <c r="G1" s="106">
        <f>63.863</f>
        <v>63.863</v>
      </c>
      <c r="H1" s="8" t="s">
        <v>207</v>
      </c>
      <c r="J1" s="154"/>
    </row>
    <row r="2" s="8" customFormat="1" ht="15">
      <c r="A2" s="33" t="s">
        <v>1157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915</v>
      </c>
      <c r="B4" s="22">
        <v>9.92</v>
      </c>
      <c r="C4" s="22">
        <f aca="true" t="shared" si="0" ref="C4:C14">B4*0.1</f>
        <v>0.992</v>
      </c>
      <c r="D4" s="22">
        <v>180</v>
      </c>
      <c r="E4" s="84">
        <f aca="true" t="shared" si="1" ref="E4:E17">D4/$D$18*$E$18</f>
        <v>0.934589800443459</v>
      </c>
      <c r="F4" s="84">
        <f aca="true" t="shared" si="2" ref="F4:F14">B4+E4+C4</f>
        <v>11.84658980044346</v>
      </c>
      <c r="G4" s="145">
        <f aca="true" t="shared" si="3" ref="G4:G14">F4*$G$1</f>
        <v>756.5587644257207</v>
      </c>
      <c r="H4" s="119">
        <v>759</v>
      </c>
      <c r="I4" s="146">
        <f aca="true" t="shared" si="4" ref="I4:I14">H4-G4</f>
        <v>2.4412355742792897</v>
      </c>
    </row>
    <row r="5" spans="1:9" s="15" customFormat="1" ht="15">
      <c r="A5" s="103" t="s">
        <v>418</v>
      </c>
      <c r="B5" s="22">
        <v>70.4</v>
      </c>
      <c r="C5" s="22">
        <f t="shared" si="0"/>
        <v>7.040000000000001</v>
      </c>
      <c r="D5" s="22">
        <v>500</v>
      </c>
      <c r="E5" s="84">
        <f t="shared" si="1"/>
        <v>2.5960827790096084</v>
      </c>
      <c r="F5" s="84">
        <f>B5+E5+C5</f>
        <v>80.03608277900962</v>
      </c>
      <c r="G5" s="145">
        <f t="shared" si="3"/>
        <v>5111.344354515892</v>
      </c>
      <c r="H5" s="132">
        <v>5036</v>
      </c>
      <c r="I5" s="146">
        <f>H5-G5</f>
        <v>-75.34435451589161</v>
      </c>
    </row>
    <row r="6" spans="1:9" s="15" customFormat="1" ht="15">
      <c r="A6" s="103" t="s">
        <v>940</v>
      </c>
      <c r="B6" s="22">
        <v>5.93</v>
      </c>
      <c r="C6" s="22">
        <f t="shared" si="0"/>
        <v>0.593</v>
      </c>
      <c r="D6" s="22">
        <v>250</v>
      </c>
      <c r="E6" s="84">
        <f t="shared" si="1"/>
        <v>1.2980413895048042</v>
      </c>
      <c r="F6" s="84">
        <f t="shared" si="2"/>
        <v>7.821041389504804</v>
      </c>
      <c r="G6" s="145">
        <f t="shared" si="3"/>
        <v>499.47516625794526</v>
      </c>
      <c r="H6" s="132">
        <v>500</v>
      </c>
      <c r="I6" s="146">
        <f t="shared" si="4"/>
        <v>0.5248337420547387</v>
      </c>
    </row>
    <row r="7" spans="1:9" s="8" customFormat="1" ht="15">
      <c r="A7" s="104" t="s">
        <v>1159</v>
      </c>
      <c r="B7" s="22">
        <v>7.49</v>
      </c>
      <c r="C7" s="22">
        <f t="shared" si="0"/>
        <v>0.7490000000000001</v>
      </c>
      <c r="D7" s="22">
        <v>60</v>
      </c>
      <c r="E7" s="84">
        <f t="shared" si="1"/>
        <v>0.311529933481153</v>
      </c>
      <c r="F7" s="84">
        <f t="shared" si="2"/>
        <v>8.550529933481153</v>
      </c>
      <c r="G7" s="145">
        <f t="shared" si="3"/>
        <v>546.0624931419069</v>
      </c>
      <c r="H7" s="132">
        <v>546</v>
      </c>
      <c r="I7" s="146">
        <f t="shared" si="4"/>
        <v>-0.062493141906884375</v>
      </c>
    </row>
    <row r="8" spans="1:9" s="15" customFormat="1" ht="15">
      <c r="A8" s="103" t="s">
        <v>630</v>
      </c>
      <c r="B8" s="22">
        <v>24.92</v>
      </c>
      <c r="C8" s="22">
        <f t="shared" si="0"/>
        <v>2.4920000000000004</v>
      </c>
      <c r="D8" s="22">
        <v>320</v>
      </c>
      <c r="E8" s="84">
        <f t="shared" si="1"/>
        <v>1.6614929785661492</v>
      </c>
      <c r="F8" s="84">
        <f t="shared" si="2"/>
        <v>29.07349297856615</v>
      </c>
      <c r="G8" s="145">
        <f t="shared" si="3"/>
        <v>1856.72048209017</v>
      </c>
      <c r="H8" s="157">
        <f>1790+65</f>
        <v>1855</v>
      </c>
      <c r="I8" s="146">
        <f t="shared" si="4"/>
        <v>-1.7204820901699804</v>
      </c>
    </row>
    <row r="9" spans="1:9" s="15" customFormat="1" ht="15">
      <c r="A9" s="103" t="s">
        <v>694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0.3374907612712491</v>
      </c>
      <c r="F9" s="84">
        <f t="shared" si="2"/>
        <v>10.87549076127125</v>
      </c>
      <c r="G9" s="145">
        <f t="shared" si="3"/>
        <v>694.5414664870658</v>
      </c>
      <c r="H9" s="119">
        <v>694</v>
      </c>
      <c r="I9" s="146">
        <f t="shared" si="4"/>
        <v>-0.5414664870658044</v>
      </c>
    </row>
    <row r="10" spans="1:9" s="15" customFormat="1" ht="15">
      <c r="A10" s="103" t="s">
        <v>1160</v>
      </c>
      <c r="B10" s="22">
        <v>14.08</v>
      </c>
      <c r="C10" s="22">
        <f t="shared" si="0"/>
        <v>1.4080000000000001</v>
      </c>
      <c r="D10" s="22">
        <v>460</v>
      </c>
      <c r="E10" s="84">
        <f t="shared" si="1"/>
        <v>2.3883961566888394</v>
      </c>
      <c r="F10" s="84">
        <f t="shared" si="2"/>
        <v>17.87639615668884</v>
      </c>
      <c r="G10" s="145">
        <f t="shared" si="3"/>
        <v>1141.6402877546195</v>
      </c>
      <c r="H10" s="119">
        <v>1145</v>
      </c>
      <c r="I10" s="146">
        <f t="shared" si="4"/>
        <v>3.3597122453804786</v>
      </c>
    </row>
    <row r="11" spans="1:9" s="15" customFormat="1" ht="15">
      <c r="A11" s="103" t="s">
        <v>1161</v>
      </c>
      <c r="B11" s="22">
        <v>13.75</v>
      </c>
      <c r="C11" s="22">
        <f>B11*0.1</f>
        <v>1.375</v>
      </c>
      <c r="D11" s="22">
        <v>180</v>
      </c>
      <c r="E11" s="84">
        <f t="shared" si="1"/>
        <v>0.934589800443459</v>
      </c>
      <c r="F11" s="84">
        <f>B11+E11+C11</f>
        <v>16.059589800443458</v>
      </c>
      <c r="G11" s="145">
        <f>F11*$G$1</f>
        <v>1025.6135834257207</v>
      </c>
      <c r="H11" s="132">
        <v>1027</v>
      </c>
      <c r="I11" s="146">
        <f>H11-G11</f>
        <v>1.3864165742793375</v>
      </c>
    </row>
    <row r="12" spans="1:9" s="15" customFormat="1" ht="15">
      <c r="A12" s="103" t="s">
        <v>1162</v>
      </c>
      <c r="B12" s="22">
        <v>20.33</v>
      </c>
      <c r="C12" s="22">
        <f>B12*0.1</f>
        <v>2.033</v>
      </c>
      <c r="D12" s="22">
        <v>140</v>
      </c>
      <c r="E12" s="84">
        <f t="shared" si="1"/>
        <v>0.7269031781226903</v>
      </c>
      <c r="F12" s="84">
        <f>B12+E12+C12</f>
        <v>23.08990317812269</v>
      </c>
      <c r="G12" s="145">
        <f>F12*$G$1</f>
        <v>1474.5904866644494</v>
      </c>
      <c r="H12" s="119">
        <f>1467+8</f>
        <v>1475</v>
      </c>
      <c r="I12" s="146">
        <f>H12-G12</f>
        <v>0.40951333555062774</v>
      </c>
    </row>
    <row r="13" spans="1:9" s="15" customFormat="1" ht="15">
      <c r="A13" s="103" t="s">
        <v>1163</v>
      </c>
      <c r="B13" s="22">
        <v>10.76</v>
      </c>
      <c r="C13" s="22">
        <f>B13*0.1</f>
        <v>1.076</v>
      </c>
      <c r="D13" s="22">
        <v>410</v>
      </c>
      <c r="E13" s="84">
        <f t="shared" si="1"/>
        <v>2.128787878787879</v>
      </c>
      <c r="F13" s="84">
        <f>B13+E13+C13</f>
        <v>13.96478787878788</v>
      </c>
      <c r="G13" s="145">
        <f>F13*$G$1</f>
        <v>891.8332483030304</v>
      </c>
      <c r="H13" s="119">
        <v>895</v>
      </c>
      <c r="I13" s="146">
        <f>H13-G13</f>
        <v>3.1667516969696408</v>
      </c>
    </row>
    <row r="14" spans="1:9" s="15" customFormat="1" ht="15">
      <c r="A14" s="103" t="s">
        <v>1127</v>
      </c>
      <c r="B14" s="108">
        <v>8.33</v>
      </c>
      <c r="C14" s="22">
        <f t="shared" si="0"/>
        <v>0.8330000000000001</v>
      </c>
      <c r="D14" s="108">
        <v>160</v>
      </c>
      <c r="E14" s="84">
        <f t="shared" si="1"/>
        <v>0.8307464892830746</v>
      </c>
      <c r="F14" s="84">
        <f t="shared" si="2"/>
        <v>9.993746489283074</v>
      </c>
      <c r="G14" s="145">
        <f t="shared" si="3"/>
        <v>638.2306320450849</v>
      </c>
      <c r="H14" s="132">
        <v>633</v>
      </c>
      <c r="I14" s="146">
        <f t="shared" si="4"/>
        <v>-5.230632045084917</v>
      </c>
    </row>
    <row r="15" spans="1:9" s="15" customFormat="1" ht="15">
      <c r="A15" s="103" t="s">
        <v>1122</v>
      </c>
      <c r="B15" s="22">
        <v>36.77</v>
      </c>
      <c r="C15" s="22">
        <f>B15*0.1</f>
        <v>3.6770000000000005</v>
      </c>
      <c r="D15" s="22">
        <v>1620</v>
      </c>
      <c r="E15" s="84">
        <f t="shared" si="1"/>
        <v>8.411308203991132</v>
      </c>
      <c r="F15" s="84">
        <f>B15+E15+C15</f>
        <v>48.858308203991136</v>
      </c>
      <c r="G15" s="145">
        <f>F15*$G$1</f>
        <v>3120.238136831486</v>
      </c>
      <c r="H15" s="157">
        <v>3122</v>
      </c>
      <c r="I15" s="146">
        <f>H15-G15</f>
        <v>1.7618631685140826</v>
      </c>
    </row>
    <row r="16" spans="1:9" s="15" customFormat="1" ht="15">
      <c r="A16" s="103" t="s">
        <v>1164</v>
      </c>
      <c r="B16" s="22">
        <v>18.71</v>
      </c>
      <c r="C16" s="22">
        <f>B16*0.1</f>
        <v>1.8710000000000002</v>
      </c>
      <c r="D16" s="22">
        <v>740</v>
      </c>
      <c r="E16" s="84">
        <f t="shared" si="1"/>
        <v>3.8422025129342203</v>
      </c>
      <c r="F16" s="84">
        <f>B16+E16+C16</f>
        <v>24.42320251293422</v>
      </c>
      <c r="G16" s="145">
        <f>F16*$G$1</f>
        <v>1559.738982083518</v>
      </c>
      <c r="H16" s="119">
        <f>1543+17</f>
        <v>1560</v>
      </c>
      <c r="I16" s="146">
        <f>H16-G16</f>
        <v>0.26101791648193284</v>
      </c>
    </row>
    <row r="17" spans="1:10" s="8" customFormat="1" ht="15">
      <c r="A17" s="103" t="s">
        <v>224</v>
      </c>
      <c r="B17" s="85"/>
      <c r="C17" s="85"/>
      <c r="D17" s="22">
        <v>8445</v>
      </c>
      <c r="E17" s="84">
        <f t="shared" si="1"/>
        <v>43.84783813747228</v>
      </c>
      <c r="F17" s="85"/>
      <c r="G17" s="28"/>
      <c r="H17" s="156"/>
      <c r="I17" s="28"/>
      <c r="J17" s="32"/>
    </row>
    <row r="18" spans="1:9" s="8" customFormat="1" ht="15">
      <c r="A18" s="25"/>
      <c r="B18" s="86"/>
      <c r="C18" s="86"/>
      <c r="D18" s="86">
        <f>SUM(D4:D17)</f>
        <v>13530</v>
      </c>
      <c r="E18" s="1">
        <v>70.25</v>
      </c>
      <c r="F18" s="113"/>
      <c r="G18" s="28"/>
      <c r="H18" s="28"/>
      <c r="I18" s="28"/>
    </row>
    <row r="21" ht="28.5">
      <c r="A21" s="107" t="s">
        <v>889</v>
      </c>
    </row>
    <row r="22" ht="28.5">
      <c r="A22" s="107" t="s">
        <v>1158</v>
      </c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205</v>
      </c>
      <c r="B1" s="10">
        <v>41362</v>
      </c>
      <c r="C1" s="10"/>
      <c r="D1" s="11" t="s">
        <v>206</v>
      </c>
      <c r="E1" s="12">
        <f>40.59</f>
        <v>40.59</v>
      </c>
      <c r="G1" s="8" t="s">
        <v>207</v>
      </c>
    </row>
    <row r="2" s="8" customFormat="1" ht="23.25" customHeight="1">
      <c r="A2" s="33" t="s">
        <v>244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61</v>
      </c>
      <c r="B4" s="16">
        <v>61.5</v>
      </c>
      <c r="C4" s="16">
        <f aca="true" t="shared" si="0" ref="C4:C9">B4*0.95</f>
        <v>58.425</v>
      </c>
      <c r="D4" s="16">
        <f aca="true" t="shared" si="1" ref="D4:D9">B4/$B$22*$D$22</f>
        <v>2.77404804363789</v>
      </c>
      <c r="E4" s="17">
        <f aca="true" t="shared" si="2" ref="E4:E9">(C4+D4)*$E$1</f>
        <v>2484.069360091262</v>
      </c>
      <c r="F4" s="18"/>
      <c r="G4" s="19">
        <f aca="true" t="shared" si="3" ref="G4:G9">E4-F4</f>
        <v>2484.069360091262</v>
      </c>
      <c r="H4" s="22">
        <f>1500+976</f>
        <v>2476</v>
      </c>
      <c r="I4" s="21">
        <f aca="true" t="shared" si="4" ref="I4:I9">H4-G4+F4</f>
        <v>-8.069360091261842</v>
      </c>
    </row>
    <row r="5" spans="1:9" s="8" customFormat="1" ht="15">
      <c r="A5" s="4" t="s">
        <v>121</v>
      </c>
      <c r="B5" s="16">
        <v>12.9</v>
      </c>
      <c r="C5" s="16">
        <f t="shared" si="0"/>
        <v>12.254999999999999</v>
      </c>
      <c r="D5" s="16">
        <f t="shared" si="1"/>
        <v>0.5818734920801427</v>
      </c>
      <c r="E5" s="17">
        <f>(C5+D5)*$E$1</f>
        <v>521.0486950435329</v>
      </c>
      <c r="F5" s="18"/>
      <c r="G5" s="19">
        <f>E5-F5</f>
        <v>521.0486950435329</v>
      </c>
      <c r="H5" s="22">
        <v>581</v>
      </c>
      <c r="I5" s="21">
        <f t="shared" si="4"/>
        <v>59.951304956467084</v>
      </c>
    </row>
    <row r="6" spans="1:9" s="8" customFormat="1" ht="15">
      <c r="A6" s="4" t="s">
        <v>194</v>
      </c>
      <c r="B6" s="16">
        <v>9.5</v>
      </c>
      <c r="C6" s="16">
        <f t="shared" si="0"/>
        <v>9.025</v>
      </c>
      <c r="D6" s="16">
        <f t="shared" si="1"/>
        <v>0.428511486415609</v>
      </c>
      <c r="E6" s="17">
        <f t="shared" si="2"/>
        <v>383.7180312336096</v>
      </c>
      <c r="F6" s="18"/>
      <c r="G6" s="19">
        <f t="shared" si="3"/>
        <v>383.7180312336096</v>
      </c>
      <c r="H6" s="22">
        <v>390</v>
      </c>
      <c r="I6" s="21">
        <f t="shared" si="4"/>
        <v>6.281968766390378</v>
      </c>
    </row>
    <row r="7" spans="1:9" s="8" customFormat="1" ht="15">
      <c r="A7" s="4" t="s">
        <v>143</v>
      </c>
      <c r="B7" s="16">
        <v>16.9</v>
      </c>
      <c r="C7" s="16">
        <f t="shared" si="0"/>
        <v>16.054999999999996</v>
      </c>
      <c r="D7" s="16">
        <f t="shared" si="1"/>
        <v>0.7622993810972413</v>
      </c>
      <c r="E7" s="17">
        <f>(C7+D7)*$E$1</f>
        <v>682.6141818787369</v>
      </c>
      <c r="F7" s="18"/>
      <c r="G7" s="19">
        <f>E7-F7</f>
        <v>682.6141818787369</v>
      </c>
      <c r="H7" s="22">
        <v>683</v>
      </c>
      <c r="I7" s="21">
        <f t="shared" si="4"/>
        <v>0.385818121263128</v>
      </c>
    </row>
    <row r="8" spans="1:9" s="8" customFormat="1" ht="15">
      <c r="A8" s="4" t="s">
        <v>34</v>
      </c>
      <c r="B8" s="16">
        <v>27</v>
      </c>
      <c r="C8" s="16">
        <f t="shared" si="0"/>
        <v>25.65</v>
      </c>
      <c r="D8" s="16">
        <f t="shared" si="1"/>
        <v>1.217874750865415</v>
      </c>
      <c r="E8" s="17">
        <f t="shared" si="2"/>
        <v>1090.5670361376274</v>
      </c>
      <c r="F8" s="18"/>
      <c r="G8" s="19">
        <f t="shared" si="3"/>
        <v>1090.5670361376274</v>
      </c>
      <c r="H8" s="22">
        <v>1086</v>
      </c>
      <c r="I8" s="21">
        <f t="shared" si="4"/>
        <v>-4.567036137627383</v>
      </c>
    </row>
    <row r="9" spans="1:9" s="8" customFormat="1" ht="15">
      <c r="A9" s="4" t="s">
        <v>6</v>
      </c>
      <c r="B9" s="16">
        <v>54.4</v>
      </c>
      <c r="C9" s="16">
        <f t="shared" si="0"/>
        <v>51.68</v>
      </c>
      <c r="D9" s="16">
        <f t="shared" si="1"/>
        <v>2.45379209063254</v>
      </c>
      <c r="E9" s="17">
        <f t="shared" si="2"/>
        <v>2197.290620958775</v>
      </c>
      <c r="F9" s="18"/>
      <c r="G9" s="19">
        <f t="shared" si="3"/>
        <v>2197.290620958775</v>
      </c>
      <c r="H9" s="22">
        <v>2200</v>
      </c>
      <c r="I9" s="21">
        <f t="shared" si="4"/>
        <v>2.70937904122502</v>
      </c>
    </row>
    <row r="10" spans="1:9" s="8" customFormat="1" ht="15">
      <c r="A10" s="4" t="s">
        <v>84</v>
      </c>
      <c r="B10" s="16">
        <v>72.85</v>
      </c>
      <c r="C10" s="16">
        <f aca="true" t="shared" si="5" ref="C10:C20">B10*0.95</f>
        <v>69.2075</v>
      </c>
      <c r="D10" s="16">
        <f aca="true" t="shared" si="6" ref="D10:D20">B10/$B$22*$D$22</f>
        <v>3.2860065037239066</v>
      </c>
      <c r="E10" s="17">
        <f aca="true" t="shared" si="7" ref="E10:E20">(C10+D10)*$E$1</f>
        <v>2942.5114289861535</v>
      </c>
      <c r="F10" s="18"/>
      <c r="G10" s="19">
        <f aca="true" t="shared" si="8" ref="G10:G20">E10-F10</f>
        <v>2942.5114289861535</v>
      </c>
      <c r="H10" s="22">
        <f>2930+20</f>
        <v>2950</v>
      </c>
      <c r="I10" s="21">
        <f aca="true" t="shared" si="9" ref="I10:I20">H10-G10+F10</f>
        <v>7.488571013846467</v>
      </c>
    </row>
    <row r="11" spans="1:9" s="8" customFormat="1" ht="15">
      <c r="A11" s="4" t="s">
        <v>175</v>
      </c>
      <c r="B11" s="16">
        <v>20.7</v>
      </c>
      <c r="C11" s="16">
        <f t="shared" si="5"/>
        <v>19.665</v>
      </c>
      <c r="D11" s="16">
        <f t="shared" si="6"/>
        <v>0.9337039756634848</v>
      </c>
      <c r="E11" s="17">
        <f t="shared" si="7"/>
        <v>836.1013943721808</v>
      </c>
      <c r="F11" s="18"/>
      <c r="G11" s="19">
        <f t="shared" si="8"/>
        <v>836.1013943721808</v>
      </c>
      <c r="H11" s="22">
        <f>833+8</f>
        <v>841</v>
      </c>
      <c r="I11" s="21">
        <f t="shared" si="9"/>
        <v>4.898605627819165</v>
      </c>
    </row>
    <row r="12" spans="1:9" s="8" customFormat="1" ht="15">
      <c r="A12" s="4" t="s">
        <v>152</v>
      </c>
      <c r="B12" s="16">
        <v>63.2</v>
      </c>
      <c r="C12" s="16">
        <f t="shared" si="5"/>
        <v>60.04</v>
      </c>
      <c r="D12" s="16">
        <f t="shared" si="6"/>
        <v>2.8507290464701573</v>
      </c>
      <c r="E12" s="17">
        <f t="shared" si="7"/>
        <v>2552.734691996224</v>
      </c>
      <c r="F12" s="18"/>
      <c r="G12" s="19">
        <f t="shared" si="8"/>
        <v>2552.734691996224</v>
      </c>
      <c r="H12" s="22">
        <v>2545</v>
      </c>
      <c r="I12" s="21">
        <f t="shared" si="9"/>
        <v>-7.7346919962237735</v>
      </c>
    </row>
    <row r="13" spans="1:9" s="8" customFormat="1" ht="15">
      <c r="A13" s="4" t="s">
        <v>49</v>
      </c>
      <c r="B13" s="16">
        <v>28.9</v>
      </c>
      <c r="C13" s="16">
        <f t="shared" si="5"/>
        <v>27.455</v>
      </c>
      <c r="D13" s="16">
        <f t="shared" si="6"/>
        <v>1.303577048148537</v>
      </c>
      <c r="E13" s="17">
        <f t="shared" si="7"/>
        <v>1167.3106423843492</v>
      </c>
      <c r="F13" s="18"/>
      <c r="G13" s="19">
        <f t="shared" si="8"/>
        <v>1167.3106423843492</v>
      </c>
      <c r="H13" s="22">
        <v>1162</v>
      </c>
      <c r="I13" s="21">
        <f t="shared" si="9"/>
        <v>-5.310642384349194</v>
      </c>
    </row>
    <row r="14" spans="1:9" s="8" customFormat="1" ht="15">
      <c r="A14" s="4" t="s">
        <v>245</v>
      </c>
      <c r="B14" s="16">
        <v>18.4</v>
      </c>
      <c r="C14" s="16">
        <f t="shared" si="5"/>
        <v>17.479999999999997</v>
      </c>
      <c r="D14" s="16">
        <f t="shared" si="6"/>
        <v>0.8299590894786533</v>
      </c>
      <c r="E14" s="17">
        <f t="shared" si="7"/>
        <v>743.2012394419385</v>
      </c>
      <c r="F14" s="18"/>
      <c r="G14" s="19">
        <f t="shared" si="8"/>
        <v>743.2012394419385</v>
      </c>
      <c r="H14" s="22">
        <v>740</v>
      </c>
      <c r="I14" s="21">
        <f t="shared" si="9"/>
        <v>-3.201239441938469</v>
      </c>
    </row>
    <row r="15" spans="1:9" s="8" customFormat="1" ht="15">
      <c r="A15" s="4" t="s">
        <v>112</v>
      </c>
      <c r="B15" s="16">
        <v>18.5</v>
      </c>
      <c r="C15" s="16">
        <f t="shared" si="5"/>
        <v>17.575</v>
      </c>
      <c r="D15" s="16">
        <f t="shared" si="6"/>
        <v>0.8344697367040808</v>
      </c>
      <c r="E15" s="17">
        <f t="shared" si="7"/>
        <v>747.2403766128186</v>
      </c>
      <c r="F15" s="18"/>
      <c r="G15" s="19">
        <f t="shared" si="8"/>
        <v>747.2403766128186</v>
      </c>
      <c r="H15" s="22">
        <f>644+99+4</f>
        <v>747</v>
      </c>
      <c r="I15" s="21">
        <f t="shared" si="9"/>
        <v>-0.2403766128186362</v>
      </c>
    </row>
    <row r="16" spans="1:9" s="8" customFormat="1" ht="15">
      <c r="A16" s="4" t="s">
        <v>116</v>
      </c>
      <c r="B16" s="16">
        <v>6.2</v>
      </c>
      <c r="C16" s="16">
        <f t="shared" si="5"/>
        <v>5.89</v>
      </c>
      <c r="D16" s="16">
        <f t="shared" si="6"/>
        <v>0.2796601279765027</v>
      </c>
      <c r="E16" s="17">
        <f t="shared" si="7"/>
        <v>250.42650459456627</v>
      </c>
      <c r="F16" s="18"/>
      <c r="G16" s="19">
        <f t="shared" si="8"/>
        <v>250.42650459456627</v>
      </c>
      <c r="H16" s="22">
        <v>249</v>
      </c>
      <c r="I16" s="21">
        <f t="shared" si="9"/>
        <v>-1.4265045945662678</v>
      </c>
    </row>
    <row r="17" spans="1:9" s="8" customFormat="1" ht="15">
      <c r="A17" s="4" t="s">
        <v>179</v>
      </c>
      <c r="B17" s="47">
        <f>44.9-35.4</f>
        <v>9.5</v>
      </c>
      <c r="C17" s="16">
        <f t="shared" si="5"/>
        <v>9.025</v>
      </c>
      <c r="D17" s="16">
        <f t="shared" si="6"/>
        <v>0.428511486415609</v>
      </c>
      <c r="E17" s="17">
        <f t="shared" si="7"/>
        <v>383.7180312336096</v>
      </c>
      <c r="F17" s="18"/>
      <c r="G17" s="19">
        <f t="shared" si="8"/>
        <v>383.7180312336096</v>
      </c>
      <c r="H17" s="22">
        <v>1835</v>
      </c>
      <c r="I17" s="21">
        <f t="shared" si="9"/>
        <v>1451.2819687663905</v>
      </c>
    </row>
    <row r="18" spans="1:9" s="8" customFormat="1" ht="15">
      <c r="A18" s="3" t="s">
        <v>131</v>
      </c>
      <c r="B18" s="48" t="s">
        <v>246</v>
      </c>
      <c r="C18" s="16"/>
      <c r="D18" s="16"/>
      <c r="E18" s="17"/>
      <c r="F18" s="18"/>
      <c r="G18" s="19"/>
      <c r="H18" s="22"/>
      <c r="I18" s="21">
        <v>640</v>
      </c>
    </row>
    <row r="19" spans="1:9" s="8" customFormat="1" ht="15">
      <c r="A19" s="5" t="s">
        <v>74</v>
      </c>
      <c r="B19" s="16">
        <v>13.5</v>
      </c>
      <c r="C19" s="16">
        <f t="shared" si="5"/>
        <v>12.825</v>
      </c>
      <c r="D19" s="16">
        <f t="shared" si="6"/>
        <v>0.6089373754327075</v>
      </c>
      <c r="E19" s="17">
        <f t="shared" si="7"/>
        <v>545.2835180688137</v>
      </c>
      <c r="F19" s="18"/>
      <c r="G19" s="19">
        <f t="shared" si="8"/>
        <v>545.2835180688137</v>
      </c>
      <c r="H19" s="22">
        <v>551</v>
      </c>
      <c r="I19" s="21">
        <f t="shared" si="9"/>
        <v>5.716481931186308</v>
      </c>
    </row>
    <row r="20" spans="1:10" s="8" customFormat="1" ht="15">
      <c r="A20" s="5" t="s">
        <v>150</v>
      </c>
      <c r="B20" s="16">
        <v>16.9</v>
      </c>
      <c r="C20" s="16">
        <f t="shared" si="5"/>
        <v>16.054999999999996</v>
      </c>
      <c r="D20" s="16">
        <f t="shared" si="6"/>
        <v>0.7622993810972413</v>
      </c>
      <c r="E20" s="17">
        <f t="shared" si="7"/>
        <v>682.6141818787369</v>
      </c>
      <c r="F20" s="18"/>
      <c r="G20" s="19">
        <f t="shared" si="8"/>
        <v>682.6141818787369</v>
      </c>
      <c r="H20" s="22">
        <f>700-17</f>
        <v>683</v>
      </c>
      <c r="I20" s="21">
        <f t="shared" si="9"/>
        <v>0.385818121263128</v>
      </c>
      <c r="J20" s="8" t="s">
        <v>247</v>
      </c>
    </row>
    <row r="21" spans="1:9" s="8" customFormat="1" ht="15">
      <c r="A21" s="8" t="s">
        <v>224</v>
      </c>
      <c r="B21" s="16">
        <v>25.8</v>
      </c>
      <c r="C21" s="16">
        <f>B21*0.95</f>
        <v>24.509999999999998</v>
      </c>
      <c r="D21" s="16">
        <f>B21/$B$22*$D$22</f>
        <v>1.1637469841602854</v>
      </c>
      <c r="E21" s="27"/>
      <c r="F21" s="28"/>
      <c r="G21" s="28"/>
      <c r="H21" s="28"/>
      <c r="I21" s="28"/>
    </row>
    <row r="22" spans="1:9" s="8" customFormat="1" ht="15">
      <c r="A22" s="25"/>
      <c r="B22" s="26">
        <f>SUM(B4:B21)</f>
        <v>476.6499999999999</v>
      </c>
      <c r="C22" s="26">
        <f>SUM(C4:C21)</f>
        <v>452.8175</v>
      </c>
      <c r="D22" s="26">
        <v>21.5</v>
      </c>
      <c r="E22" s="27"/>
      <c r="F22" s="28"/>
      <c r="G22" s="28"/>
      <c r="H22" s="28"/>
      <c r="I22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205</v>
      </c>
      <c r="B1" s="10">
        <v>42861</v>
      </c>
      <c r="C1" s="10"/>
      <c r="D1" s="10"/>
      <c r="E1" s="10"/>
      <c r="F1" s="11" t="s">
        <v>206</v>
      </c>
      <c r="G1" s="106">
        <v>66.02</v>
      </c>
      <c r="H1" s="8" t="s">
        <v>207</v>
      </c>
      <c r="J1" s="154"/>
    </row>
    <row r="2" s="8" customFormat="1" ht="15">
      <c r="A2" s="33" t="s">
        <v>1167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318</v>
      </c>
      <c r="B4" s="22">
        <v>29.16</v>
      </c>
      <c r="C4" s="22">
        <f aca="true" t="shared" si="0" ref="C4:C10">B4*0.1</f>
        <v>2.9160000000000004</v>
      </c>
      <c r="D4" s="22">
        <v>700</v>
      </c>
      <c r="E4" s="84">
        <f aca="true" t="shared" si="1" ref="E4:E14">D4/$D$15*$E$15</f>
        <v>3.5815731973780043</v>
      </c>
      <c r="F4" s="84">
        <f aca="true" t="shared" si="2" ref="F4:F10">B4+E4+C4</f>
        <v>35.657573197378</v>
      </c>
      <c r="G4" s="145">
        <f aca="true" t="shared" si="3" ref="G4:G10">F4*$G$1</f>
        <v>2354.1129824908953</v>
      </c>
      <c r="H4" s="119">
        <f>2341+13</f>
        <v>2354</v>
      </c>
      <c r="I4" s="146">
        <f aca="true" t="shared" si="4" ref="I4:I10">H4-G4</f>
        <v>-0.11298249089531964</v>
      </c>
    </row>
    <row r="5" spans="1:9" s="15" customFormat="1" ht="15">
      <c r="A5" s="103" t="s">
        <v>936</v>
      </c>
      <c r="B5" s="22">
        <v>9.08</v>
      </c>
      <c r="C5" s="22">
        <f t="shared" si="0"/>
        <v>0.908</v>
      </c>
      <c r="D5" s="22">
        <v>145</v>
      </c>
      <c r="E5" s="84">
        <f t="shared" si="1"/>
        <v>0.741897305171158</v>
      </c>
      <c r="F5" s="84">
        <f>B5+E5+C5</f>
        <v>10.729897305171157</v>
      </c>
      <c r="G5" s="145">
        <f t="shared" si="3"/>
        <v>708.3878200873997</v>
      </c>
      <c r="H5" s="132">
        <v>696</v>
      </c>
      <c r="I5" s="146">
        <f>H5-G5</f>
        <v>-12.387820087399746</v>
      </c>
    </row>
    <row r="6" spans="1:9" s="15" customFormat="1" ht="15">
      <c r="A6" s="103" t="s">
        <v>760</v>
      </c>
      <c r="B6" s="22">
        <v>8.75</v>
      </c>
      <c r="C6" s="22">
        <f t="shared" si="0"/>
        <v>0.875</v>
      </c>
      <c r="D6" s="22">
        <v>580</v>
      </c>
      <c r="E6" s="84">
        <f t="shared" si="1"/>
        <v>2.967589220684632</v>
      </c>
      <c r="F6" s="84">
        <f t="shared" si="2"/>
        <v>12.592589220684632</v>
      </c>
      <c r="G6" s="145">
        <f t="shared" si="3"/>
        <v>831.3627403495993</v>
      </c>
      <c r="H6" s="132">
        <v>822</v>
      </c>
      <c r="I6" s="146">
        <f t="shared" si="4"/>
        <v>-9.362740349599335</v>
      </c>
    </row>
    <row r="7" spans="1:9" s="8" customFormat="1" ht="15">
      <c r="A7" s="104" t="s">
        <v>1168</v>
      </c>
      <c r="B7" s="22">
        <v>13.25</v>
      </c>
      <c r="C7" s="22">
        <f t="shared" si="0"/>
        <v>1.3250000000000002</v>
      </c>
      <c r="D7" s="22">
        <v>45</v>
      </c>
      <c r="E7" s="84">
        <f t="shared" si="1"/>
        <v>0.23024399126001457</v>
      </c>
      <c r="F7" s="84">
        <f t="shared" si="2"/>
        <v>14.805243991260014</v>
      </c>
      <c r="G7" s="145">
        <f t="shared" si="3"/>
        <v>977.442208302986</v>
      </c>
      <c r="H7" s="132">
        <v>965</v>
      </c>
      <c r="I7" s="146">
        <f t="shared" si="4"/>
        <v>-12.442208302986046</v>
      </c>
    </row>
    <row r="8" spans="1:9" s="15" customFormat="1" ht="15">
      <c r="A8" s="103" t="s">
        <v>1006</v>
      </c>
      <c r="B8" s="22">
        <v>10.43</v>
      </c>
      <c r="C8" s="22">
        <f t="shared" si="0"/>
        <v>1.043</v>
      </c>
      <c r="D8" s="22">
        <v>140</v>
      </c>
      <c r="E8" s="84">
        <f t="shared" si="1"/>
        <v>0.7163146394756008</v>
      </c>
      <c r="F8" s="84">
        <f t="shared" si="2"/>
        <v>12.1893146394756</v>
      </c>
      <c r="G8" s="145">
        <f t="shared" si="3"/>
        <v>804.738552498179</v>
      </c>
      <c r="H8" s="157">
        <v>778</v>
      </c>
      <c r="I8" s="146">
        <f t="shared" si="4"/>
        <v>-26.738552498179047</v>
      </c>
    </row>
    <row r="9" spans="1:9" s="15" customFormat="1" ht="15">
      <c r="A9" s="103" t="s">
        <v>960</v>
      </c>
      <c r="B9" s="22">
        <v>7</v>
      </c>
      <c r="C9" s="22">
        <f t="shared" si="0"/>
        <v>0.7000000000000001</v>
      </c>
      <c r="D9" s="22">
        <v>1100</v>
      </c>
      <c r="E9" s="84">
        <f t="shared" si="1"/>
        <v>5.628186453022578</v>
      </c>
      <c r="F9" s="84">
        <f t="shared" si="2"/>
        <v>13.328186453022578</v>
      </c>
      <c r="G9" s="145">
        <f t="shared" si="3"/>
        <v>879.9268696285505</v>
      </c>
      <c r="H9" s="119">
        <v>880</v>
      </c>
      <c r="I9" s="146">
        <f t="shared" si="4"/>
        <v>0.07313037144945156</v>
      </c>
    </row>
    <row r="10" spans="1:9" s="15" customFormat="1" ht="15">
      <c r="A10" s="103" t="s">
        <v>1038</v>
      </c>
      <c r="B10" s="22">
        <v>41.5</v>
      </c>
      <c r="C10" s="22">
        <f t="shared" si="0"/>
        <v>4.15</v>
      </c>
      <c r="D10" s="22">
        <v>580</v>
      </c>
      <c r="E10" s="84">
        <f t="shared" si="1"/>
        <v>2.967589220684632</v>
      </c>
      <c r="F10" s="84">
        <f t="shared" si="2"/>
        <v>48.61758922068463</v>
      </c>
      <c r="G10" s="145">
        <f t="shared" si="3"/>
        <v>3209.733240349599</v>
      </c>
      <c r="H10" s="119">
        <f>3187+23</f>
        <v>3210</v>
      </c>
      <c r="I10" s="146">
        <f t="shared" si="4"/>
        <v>0.26675965040112715</v>
      </c>
    </row>
    <row r="11" spans="1:9" s="15" customFormat="1" ht="15">
      <c r="A11" s="103" t="s">
        <v>1127</v>
      </c>
      <c r="B11" s="22">
        <v>16.17</v>
      </c>
      <c r="C11" s="22">
        <f>B11*0.1</f>
        <v>1.6170000000000002</v>
      </c>
      <c r="D11" s="22">
        <v>225</v>
      </c>
      <c r="E11" s="84">
        <f t="shared" si="1"/>
        <v>1.151219956300073</v>
      </c>
      <c r="F11" s="84">
        <f>B11+E11+C11</f>
        <v>18.938219956300074</v>
      </c>
      <c r="G11" s="145">
        <f>F11*$G$1</f>
        <v>1250.301281514931</v>
      </c>
      <c r="H11" s="132">
        <v>1313</v>
      </c>
      <c r="I11" s="146">
        <f>H11-G11</f>
        <v>62.698718485069094</v>
      </c>
    </row>
    <row r="12" spans="1:9" s="15" customFormat="1" ht="15">
      <c r="A12" s="103" t="s">
        <v>479</v>
      </c>
      <c r="B12" s="22">
        <v>14</v>
      </c>
      <c r="C12" s="22">
        <f>B12*0.1</f>
        <v>1.4000000000000001</v>
      </c>
      <c r="D12" s="22">
        <v>595</v>
      </c>
      <c r="E12" s="84">
        <f t="shared" si="1"/>
        <v>3.0443372177713037</v>
      </c>
      <c r="F12" s="84">
        <f>B12+E12+C12</f>
        <v>18.444337217771302</v>
      </c>
      <c r="G12" s="145">
        <f>F12*$G$1</f>
        <v>1217.6951431172613</v>
      </c>
      <c r="H12" s="119">
        <v>1207</v>
      </c>
      <c r="I12" s="146">
        <f>H12-G12</f>
        <v>-10.695143117261296</v>
      </c>
    </row>
    <row r="13" spans="1:9" s="15" customFormat="1" ht="15">
      <c r="A13" s="103" t="s">
        <v>598</v>
      </c>
      <c r="B13" s="22">
        <v>17.6</v>
      </c>
      <c r="C13" s="22">
        <f>B13*0.1</f>
        <v>1.7600000000000002</v>
      </c>
      <c r="D13" s="22">
        <v>1830</v>
      </c>
      <c r="E13" s="84">
        <f t="shared" si="1"/>
        <v>9.363255644573925</v>
      </c>
      <c r="F13" s="84">
        <f>B13+E13+C13</f>
        <v>28.72325564457393</v>
      </c>
      <c r="G13" s="145">
        <f>F13*$G$1</f>
        <v>1896.3093376547706</v>
      </c>
      <c r="H13" s="119">
        <v>1900</v>
      </c>
      <c r="I13" s="146">
        <f>H13-G13</f>
        <v>3.6906623452293843</v>
      </c>
    </row>
    <row r="14" spans="1:10" s="8" customFormat="1" ht="15">
      <c r="A14" s="103" t="s">
        <v>224</v>
      </c>
      <c r="B14" s="85"/>
      <c r="C14" s="85"/>
      <c r="D14" s="22">
        <v>7790</v>
      </c>
      <c r="E14" s="84">
        <f t="shared" si="1"/>
        <v>39.85779315367808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13730</v>
      </c>
      <c r="E15" s="1">
        <v>70.25</v>
      </c>
      <c r="F15" s="113"/>
      <c r="G15" s="28"/>
      <c r="H15" s="28"/>
      <c r="I15" s="28"/>
    </row>
    <row r="18" ht="28.5">
      <c r="A18" s="107"/>
    </row>
    <row r="19" ht="28.5">
      <c r="A19" s="107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205</v>
      </c>
      <c r="B1" s="10">
        <v>42871</v>
      </c>
      <c r="C1" s="10"/>
      <c r="D1" s="10"/>
      <c r="E1" s="10"/>
      <c r="F1" s="11" t="s">
        <v>206</v>
      </c>
      <c r="G1" s="106">
        <f>64.554</f>
        <v>64.554</v>
      </c>
      <c r="H1" s="8" t="s">
        <v>207</v>
      </c>
      <c r="J1" s="154"/>
    </row>
    <row r="2" s="8" customFormat="1" ht="15">
      <c r="A2" s="33" t="s">
        <v>1177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418</v>
      </c>
      <c r="B4" s="22">
        <v>70.4</v>
      </c>
      <c r="C4" s="22">
        <f aca="true" t="shared" si="0" ref="C4:C10">B4*0.1</f>
        <v>7.040000000000001</v>
      </c>
      <c r="D4" s="22">
        <v>500</v>
      </c>
      <c r="E4" s="84">
        <f aca="true" t="shared" si="1" ref="E4:E18">D4/$D$19*$E$19</f>
        <v>2.563868613138686</v>
      </c>
      <c r="F4" s="84">
        <f aca="true" t="shared" si="2" ref="F4:F10">B4+E4+C4</f>
        <v>80.00386861313869</v>
      </c>
      <c r="G4" s="145">
        <f aca="true" t="shared" si="3" ref="G4:G10">F4*$G$1</f>
        <v>5164.569734452555</v>
      </c>
      <c r="H4" s="119">
        <v>4869</v>
      </c>
      <c r="I4" s="146">
        <f aca="true" t="shared" si="4" ref="I4:I10">H4-G4</f>
        <v>-295.56973445255517</v>
      </c>
    </row>
    <row r="5" spans="1:9" s="15" customFormat="1" ht="15">
      <c r="A5" s="103" t="s">
        <v>174</v>
      </c>
      <c r="B5" s="22">
        <v>18.58</v>
      </c>
      <c r="C5" s="22">
        <f t="shared" si="0"/>
        <v>1.8579999999999999</v>
      </c>
      <c r="D5" s="22">
        <v>580</v>
      </c>
      <c r="E5" s="84">
        <f t="shared" si="1"/>
        <v>2.974087591240876</v>
      </c>
      <c r="F5" s="84">
        <f>B5+E5+C5</f>
        <v>23.412087591240876</v>
      </c>
      <c r="G5" s="145">
        <f t="shared" si="3"/>
        <v>1511.3439023649635</v>
      </c>
      <c r="H5" s="132">
        <v>1466</v>
      </c>
      <c r="I5" s="146">
        <f>H5-G5</f>
        <v>-45.34390236496347</v>
      </c>
    </row>
    <row r="6" spans="1:9" s="15" customFormat="1" ht="15">
      <c r="A6" s="103" t="s">
        <v>630</v>
      </c>
      <c r="B6" s="22">
        <v>11.58</v>
      </c>
      <c r="C6" s="22">
        <f t="shared" si="0"/>
        <v>1.1580000000000001</v>
      </c>
      <c r="D6" s="22">
        <v>480</v>
      </c>
      <c r="E6" s="84">
        <f t="shared" si="1"/>
        <v>2.461313868613139</v>
      </c>
      <c r="F6" s="84">
        <f t="shared" si="2"/>
        <v>15.199313868613139</v>
      </c>
      <c r="G6" s="145">
        <f t="shared" si="3"/>
        <v>981.1765074744526</v>
      </c>
      <c r="H6" s="132">
        <f>949+32</f>
        <v>981</v>
      </c>
      <c r="I6" s="146">
        <f t="shared" si="4"/>
        <v>-0.17650747445259185</v>
      </c>
    </row>
    <row r="7" spans="1:9" s="8" customFormat="1" ht="15">
      <c r="A7" s="104" t="s">
        <v>1087</v>
      </c>
      <c r="B7" s="22">
        <v>22.42</v>
      </c>
      <c r="C7" s="22">
        <f t="shared" si="0"/>
        <v>2.2420000000000004</v>
      </c>
      <c r="D7" s="22">
        <v>65</v>
      </c>
      <c r="E7" s="84">
        <f t="shared" si="1"/>
        <v>0.33330291970802917</v>
      </c>
      <c r="F7" s="84">
        <f t="shared" si="2"/>
        <v>24.99530291970803</v>
      </c>
      <c r="G7" s="145">
        <f t="shared" si="3"/>
        <v>1613.5467846788324</v>
      </c>
      <c r="H7" s="132">
        <f>1577+38</f>
        <v>1615</v>
      </c>
      <c r="I7" s="146">
        <f t="shared" si="4"/>
        <v>1.4532153211675904</v>
      </c>
    </row>
    <row r="8" spans="1:9" s="15" customFormat="1" ht="15">
      <c r="A8" s="103" t="s">
        <v>1178</v>
      </c>
      <c r="B8" s="22">
        <v>55.43</v>
      </c>
      <c r="C8" s="22">
        <f t="shared" si="0"/>
        <v>5.543</v>
      </c>
      <c r="D8" s="22">
        <v>80</v>
      </c>
      <c r="E8" s="84">
        <f t="shared" si="1"/>
        <v>0.41021897810218977</v>
      </c>
      <c r="F8" s="84">
        <f t="shared" si="2"/>
        <v>61.383218978102185</v>
      </c>
      <c r="G8" s="145">
        <f t="shared" si="3"/>
        <v>3962.5323179124084</v>
      </c>
      <c r="H8" s="157">
        <f>3860+103</f>
        <v>3963</v>
      </c>
      <c r="I8" s="146">
        <f t="shared" si="4"/>
        <v>0.4676820875915837</v>
      </c>
    </row>
    <row r="9" spans="1:9" s="15" customFormat="1" ht="15">
      <c r="A9" s="103" t="s">
        <v>915</v>
      </c>
      <c r="B9" s="22">
        <v>19.84</v>
      </c>
      <c r="C9" s="22">
        <f t="shared" si="0"/>
        <v>1.984</v>
      </c>
      <c r="D9" s="22">
        <v>360</v>
      </c>
      <c r="E9" s="84">
        <f t="shared" si="1"/>
        <v>1.845985401459854</v>
      </c>
      <c r="F9" s="84">
        <f t="shared" si="2"/>
        <v>23.669985401459854</v>
      </c>
      <c r="G9" s="145">
        <f t="shared" si="3"/>
        <v>1527.9922376058396</v>
      </c>
      <c r="H9" s="119">
        <f>1493+33</f>
        <v>1526</v>
      </c>
      <c r="I9" s="146">
        <f t="shared" si="4"/>
        <v>-1.9922376058395912</v>
      </c>
    </row>
    <row r="10" spans="1:9" s="15" customFormat="1" ht="15">
      <c r="A10" s="103" t="s">
        <v>254</v>
      </c>
      <c r="B10" s="22">
        <v>11.28</v>
      </c>
      <c r="C10" s="22">
        <f t="shared" si="0"/>
        <v>1.128</v>
      </c>
      <c r="D10" s="22">
        <v>80</v>
      </c>
      <c r="E10" s="84">
        <f t="shared" si="1"/>
        <v>0.41021897810218977</v>
      </c>
      <c r="F10" s="84">
        <f t="shared" si="2"/>
        <v>12.81821897810219</v>
      </c>
      <c r="G10" s="145">
        <f t="shared" si="3"/>
        <v>827.4673079124087</v>
      </c>
      <c r="H10" s="119">
        <v>832</v>
      </c>
      <c r="I10" s="146">
        <f t="shared" si="4"/>
        <v>4.532692087591272</v>
      </c>
    </row>
    <row r="11" spans="1:9" s="15" customFormat="1" ht="15">
      <c r="A11" s="103" t="s">
        <v>675</v>
      </c>
      <c r="B11" s="22">
        <v>10.75</v>
      </c>
      <c r="C11" s="22">
        <f aca="true" t="shared" si="5" ref="C11:C17">B11*0.1</f>
        <v>1.075</v>
      </c>
      <c r="D11" s="22">
        <v>130</v>
      </c>
      <c r="E11" s="84">
        <f t="shared" si="1"/>
        <v>0.6666058394160583</v>
      </c>
      <c r="F11" s="84">
        <f aca="true" t="shared" si="6" ref="F11:F17">B11+E11+C11</f>
        <v>12.491605839416058</v>
      </c>
      <c r="G11" s="145">
        <f aca="true" t="shared" si="7" ref="G11:G17">F11*$G$1</f>
        <v>806.3831233576642</v>
      </c>
      <c r="H11" s="132">
        <f>783+18</f>
        <v>801</v>
      </c>
      <c r="I11" s="146">
        <f aca="true" t="shared" si="8" ref="I11:I17">H11-G11</f>
        <v>-5.3831233576642035</v>
      </c>
    </row>
    <row r="12" spans="1:9" s="8" customFormat="1" ht="15">
      <c r="A12" s="104" t="s">
        <v>1179</v>
      </c>
      <c r="B12" s="22">
        <v>14.99</v>
      </c>
      <c r="C12" s="22">
        <f t="shared" si="5"/>
        <v>1.499</v>
      </c>
      <c r="D12" s="22">
        <v>1150</v>
      </c>
      <c r="E12" s="84">
        <f t="shared" si="1"/>
        <v>5.896897810218977</v>
      </c>
      <c r="F12" s="84">
        <f t="shared" si="6"/>
        <v>22.385897810218975</v>
      </c>
      <c r="G12" s="145">
        <f t="shared" si="7"/>
        <v>1445.0992472408757</v>
      </c>
      <c r="H12" s="132">
        <v>1420</v>
      </c>
      <c r="I12" s="146">
        <f t="shared" si="8"/>
        <v>-25.099247240875684</v>
      </c>
    </row>
    <row r="13" spans="1:9" s="15" customFormat="1" ht="15">
      <c r="A13" s="103" t="s">
        <v>1180</v>
      </c>
      <c r="B13" s="22">
        <v>10.75</v>
      </c>
      <c r="C13" s="22">
        <f t="shared" si="5"/>
        <v>1.075</v>
      </c>
      <c r="D13" s="22">
        <v>180</v>
      </c>
      <c r="E13" s="84">
        <f t="shared" si="1"/>
        <v>0.922992700729927</v>
      </c>
      <c r="F13" s="84">
        <f t="shared" si="6"/>
        <v>12.747992700729926</v>
      </c>
      <c r="G13" s="145">
        <f t="shared" si="7"/>
        <v>822.9339208029196</v>
      </c>
      <c r="H13" s="157">
        <v>805</v>
      </c>
      <c r="I13" s="146">
        <f t="shared" si="8"/>
        <v>-17.9339208029196</v>
      </c>
    </row>
    <row r="14" spans="1:9" s="15" customFormat="1" ht="15">
      <c r="A14" s="103" t="s">
        <v>1162</v>
      </c>
      <c r="B14" s="22">
        <v>6.58</v>
      </c>
      <c r="C14" s="22">
        <f t="shared" si="5"/>
        <v>0.658</v>
      </c>
      <c r="D14" s="22">
        <v>185</v>
      </c>
      <c r="E14" s="84">
        <f t="shared" si="1"/>
        <v>0.9486313868613139</v>
      </c>
      <c r="F14" s="84">
        <f t="shared" si="6"/>
        <v>8.186631386861313</v>
      </c>
      <c r="G14" s="145">
        <f t="shared" si="7"/>
        <v>528.4798025474452</v>
      </c>
      <c r="H14" s="119">
        <f>526+50</f>
        <v>576</v>
      </c>
      <c r="I14" s="146">
        <f t="shared" si="8"/>
        <v>47.52019745255484</v>
      </c>
    </row>
    <row r="15" spans="1:9" s="15" customFormat="1" ht="15">
      <c r="A15" s="103" t="s">
        <v>127</v>
      </c>
      <c r="B15" s="22">
        <v>26.42</v>
      </c>
      <c r="C15" s="22">
        <f t="shared" si="5"/>
        <v>2.6420000000000003</v>
      </c>
      <c r="D15" s="22">
        <v>610</v>
      </c>
      <c r="E15" s="84">
        <f t="shared" si="1"/>
        <v>3.1279197080291974</v>
      </c>
      <c r="F15" s="84">
        <f t="shared" si="6"/>
        <v>32.1899197080292</v>
      </c>
      <c r="G15" s="145">
        <f t="shared" si="7"/>
        <v>2077.9880768321173</v>
      </c>
      <c r="H15" s="119">
        <f>2035+46</f>
        <v>2081</v>
      </c>
      <c r="I15" s="146">
        <f t="shared" si="8"/>
        <v>3.011923167882742</v>
      </c>
    </row>
    <row r="16" spans="1:9" s="15" customFormat="1" ht="15">
      <c r="A16" s="103" t="s">
        <v>1181</v>
      </c>
      <c r="B16" s="22">
        <v>16.09</v>
      </c>
      <c r="C16" s="22">
        <f t="shared" si="5"/>
        <v>1.609</v>
      </c>
      <c r="D16" s="22">
        <v>450</v>
      </c>
      <c r="E16" s="84">
        <f t="shared" si="1"/>
        <v>2.3074817518248176</v>
      </c>
      <c r="F16" s="84">
        <f t="shared" si="6"/>
        <v>20.006481751824815</v>
      </c>
      <c r="G16" s="145">
        <f t="shared" si="7"/>
        <v>1291.4984230072992</v>
      </c>
      <c r="H16" s="132">
        <v>1262</v>
      </c>
      <c r="I16" s="146">
        <f t="shared" si="8"/>
        <v>-29.498423007299152</v>
      </c>
    </row>
    <row r="17" spans="1:9" s="15" customFormat="1" ht="15">
      <c r="A17" s="103" t="s">
        <v>1150</v>
      </c>
      <c r="B17" s="22">
        <v>11.22</v>
      </c>
      <c r="C17" s="22">
        <f t="shared" si="5"/>
        <v>1.122</v>
      </c>
      <c r="D17" s="22">
        <v>430</v>
      </c>
      <c r="E17" s="84">
        <f t="shared" si="1"/>
        <v>2.20492700729927</v>
      </c>
      <c r="F17" s="84">
        <f t="shared" si="6"/>
        <v>14.54692700729927</v>
      </c>
      <c r="G17" s="145">
        <f t="shared" si="7"/>
        <v>939.0623260291972</v>
      </c>
      <c r="H17" s="119">
        <v>922</v>
      </c>
      <c r="I17" s="146">
        <f t="shared" si="8"/>
        <v>-17.062326029197152</v>
      </c>
    </row>
    <row r="18" spans="1:10" s="8" customFormat="1" ht="15">
      <c r="A18" s="103" t="s">
        <v>224</v>
      </c>
      <c r="B18" s="85"/>
      <c r="C18" s="85"/>
      <c r="D18" s="22">
        <v>8420</v>
      </c>
      <c r="E18" s="84">
        <f t="shared" si="1"/>
        <v>43.175547445255475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13700</v>
      </c>
      <c r="E19" s="1">
        <v>70.25</v>
      </c>
      <c r="F19" s="113"/>
      <c r="G19" s="28"/>
      <c r="H19" s="28"/>
      <c r="I19" s="28"/>
    </row>
    <row r="22" ht="28.5">
      <c r="A22" s="107"/>
    </row>
    <row r="23" ht="28.5">
      <c r="A23" s="107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90" zoomScaleNormal="90" zoomScalePageLayoutView="0" workbookViewId="0" topLeftCell="A1">
      <selection activeCell="A6" sqref="A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205</v>
      </c>
      <c r="B1" s="10">
        <v>42878</v>
      </c>
      <c r="C1" s="10"/>
      <c r="D1" s="10"/>
      <c r="E1" s="10"/>
      <c r="F1" s="11" t="s">
        <v>206</v>
      </c>
      <c r="G1" s="106">
        <v>65.302</v>
      </c>
      <c r="H1" s="8" t="s">
        <v>207</v>
      </c>
      <c r="J1" s="154"/>
    </row>
    <row r="2" s="8" customFormat="1" ht="15">
      <c r="A2" s="33" t="s">
        <v>1186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1180</v>
      </c>
      <c r="B4" s="22">
        <v>10.75</v>
      </c>
      <c r="C4" s="22">
        <f aca="true" t="shared" si="0" ref="C4:C10">B4*0.1</f>
        <v>1.075</v>
      </c>
      <c r="D4" s="22">
        <v>180</v>
      </c>
      <c r="E4" s="84">
        <f aca="true" t="shared" si="1" ref="E4:E11">D4/$D$12*$E$12</f>
        <v>0.9615602035048051</v>
      </c>
      <c r="F4" s="84">
        <f aca="true" t="shared" si="2" ref="F4:F10">B4+E4+C4</f>
        <v>12.786560203504804</v>
      </c>
      <c r="G4" s="145">
        <f aca="true" t="shared" si="3" ref="G4:G10">F4*$G$1</f>
        <v>834.9879544092707</v>
      </c>
      <c r="H4" s="119">
        <v>848</v>
      </c>
      <c r="I4" s="146">
        <f aca="true" t="shared" si="4" ref="I4:I10">H4-G4</f>
        <v>13.012045590729258</v>
      </c>
    </row>
    <row r="5" spans="1:9" s="15" customFormat="1" ht="15">
      <c r="A5" s="103" t="s">
        <v>418</v>
      </c>
      <c r="B5" s="22">
        <v>70.4</v>
      </c>
      <c r="C5" s="22">
        <f t="shared" si="0"/>
        <v>7.040000000000001</v>
      </c>
      <c r="D5" s="22">
        <v>500</v>
      </c>
      <c r="E5" s="84">
        <f t="shared" si="1"/>
        <v>2.671000565291125</v>
      </c>
      <c r="F5" s="84">
        <f>B5+E5+C5</f>
        <v>80.11100056529114</v>
      </c>
      <c r="G5" s="145">
        <f t="shared" si="3"/>
        <v>5231.4085589146425</v>
      </c>
      <c r="H5" s="119">
        <v>5453</v>
      </c>
      <c r="I5" s="146">
        <f>H5-G5</f>
        <v>221.59144108535747</v>
      </c>
    </row>
    <row r="6" spans="1:9" s="15" customFormat="1" ht="15">
      <c r="A6" s="103" t="s">
        <v>600</v>
      </c>
      <c r="B6" s="22">
        <v>69</v>
      </c>
      <c r="C6" s="22">
        <f t="shared" si="0"/>
        <v>6.9</v>
      </c>
      <c r="D6" s="22">
        <v>775</v>
      </c>
      <c r="E6" s="84">
        <f t="shared" si="1"/>
        <v>4.140050876201244</v>
      </c>
      <c r="F6" s="84">
        <f t="shared" si="2"/>
        <v>80.04005087620125</v>
      </c>
      <c r="G6" s="145">
        <f t="shared" si="3"/>
        <v>5226.775402317695</v>
      </c>
      <c r="H6" s="119">
        <f>5216+36</f>
        <v>5252</v>
      </c>
      <c r="I6" s="146">
        <f t="shared" si="4"/>
        <v>25.224597682305102</v>
      </c>
    </row>
    <row r="7" spans="1:9" s="8" customFormat="1" ht="15">
      <c r="A7" s="104" t="s">
        <v>7</v>
      </c>
      <c r="B7" s="22">
        <v>17.33</v>
      </c>
      <c r="C7" s="22">
        <f t="shared" si="0"/>
        <v>1.7329999999999999</v>
      </c>
      <c r="D7" s="22">
        <v>245</v>
      </c>
      <c r="E7" s="84">
        <f t="shared" si="1"/>
        <v>1.3087902769926514</v>
      </c>
      <c r="F7" s="84">
        <f t="shared" si="2"/>
        <v>20.37179027699265</v>
      </c>
      <c r="G7" s="145">
        <f t="shared" si="3"/>
        <v>1330.3186486681743</v>
      </c>
      <c r="H7" s="119">
        <v>1319</v>
      </c>
      <c r="I7" s="146">
        <f t="shared" si="4"/>
        <v>-11.318648668174319</v>
      </c>
    </row>
    <row r="8" spans="1:9" s="15" customFormat="1" ht="15">
      <c r="A8" s="103" t="s">
        <v>75</v>
      </c>
      <c r="B8" s="22">
        <v>10.74</v>
      </c>
      <c r="C8" s="22">
        <f t="shared" si="0"/>
        <v>1.074</v>
      </c>
      <c r="D8" s="22">
        <v>490</v>
      </c>
      <c r="E8" s="84">
        <f t="shared" si="1"/>
        <v>2.6175805539853028</v>
      </c>
      <c r="F8" s="84">
        <f t="shared" si="2"/>
        <v>14.431580553985302</v>
      </c>
      <c r="G8" s="145">
        <f t="shared" si="3"/>
        <v>942.4110733363483</v>
      </c>
      <c r="H8" s="119">
        <v>955</v>
      </c>
      <c r="I8" s="146">
        <f t="shared" si="4"/>
        <v>12.588926663651705</v>
      </c>
    </row>
    <row r="9" spans="1:9" s="15" customFormat="1" ht="15">
      <c r="A9" s="103" t="s">
        <v>95</v>
      </c>
      <c r="B9" s="22">
        <v>38.17</v>
      </c>
      <c r="C9" s="22">
        <f t="shared" si="0"/>
        <v>3.817</v>
      </c>
      <c r="D9" s="22">
        <v>175</v>
      </c>
      <c r="E9" s="84">
        <f t="shared" si="1"/>
        <v>0.9348501978518937</v>
      </c>
      <c r="F9" s="84">
        <f t="shared" si="2"/>
        <v>42.921850197851896</v>
      </c>
      <c r="G9" s="145">
        <f t="shared" si="3"/>
        <v>2802.882661620125</v>
      </c>
      <c r="H9" s="119">
        <f>2791+26+12</f>
        <v>2829</v>
      </c>
      <c r="I9" s="146">
        <f t="shared" si="4"/>
        <v>26.117338379875036</v>
      </c>
    </row>
    <row r="10" spans="1:9" s="15" customFormat="1" ht="15">
      <c r="A10" s="103" t="s">
        <v>1150</v>
      </c>
      <c r="B10" s="22">
        <v>6.16</v>
      </c>
      <c r="C10" s="22">
        <f t="shared" si="0"/>
        <v>0.6160000000000001</v>
      </c>
      <c r="D10" s="22">
        <v>70</v>
      </c>
      <c r="E10" s="84">
        <f t="shared" si="1"/>
        <v>0.3739400791407575</v>
      </c>
      <c r="F10" s="84">
        <f t="shared" si="2"/>
        <v>7.149940079140757</v>
      </c>
      <c r="G10" s="145">
        <f t="shared" si="3"/>
        <v>466.90538704804976</v>
      </c>
      <c r="H10" s="119">
        <v>465</v>
      </c>
      <c r="I10" s="146">
        <f t="shared" si="4"/>
        <v>-1.9053870480497608</v>
      </c>
    </row>
    <row r="11" spans="1:10" s="8" customFormat="1" ht="15">
      <c r="A11" s="103" t="s">
        <v>224</v>
      </c>
      <c r="B11" s="85"/>
      <c r="C11" s="85"/>
      <c r="D11" s="22">
        <v>6410</v>
      </c>
      <c r="E11" s="84">
        <f t="shared" si="1"/>
        <v>34.24222724703222</v>
      </c>
      <c r="F11" s="85"/>
      <c r="G11" s="28"/>
      <c r="H11" s="156"/>
      <c r="I11" s="28"/>
      <c r="J11" s="32"/>
    </row>
    <row r="12" spans="1:9" s="8" customFormat="1" ht="15">
      <c r="A12" s="25"/>
      <c r="B12" s="86"/>
      <c r="C12" s="86"/>
      <c r="D12" s="86">
        <f>SUM(D4:D11)</f>
        <v>8845</v>
      </c>
      <c r="E12" s="1">
        <v>47.25</v>
      </c>
      <c r="F12" s="113"/>
      <c r="G12" s="28"/>
      <c r="H12" s="28"/>
      <c r="I12" s="28"/>
    </row>
    <row r="15" ht="28.5">
      <c r="A15" s="107"/>
    </row>
    <row r="16" ht="28.5">
      <c r="A16" s="107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205</v>
      </c>
      <c r="B1" s="10">
        <v>42884</v>
      </c>
      <c r="C1" s="10"/>
      <c r="D1" s="10"/>
      <c r="E1" s="10"/>
      <c r="F1" s="11" t="s">
        <v>206</v>
      </c>
      <c r="G1" s="106">
        <v>65.084</v>
      </c>
      <c r="H1" s="8" t="s">
        <v>207</v>
      </c>
      <c r="J1" s="154"/>
    </row>
    <row r="2" s="8" customFormat="1" ht="15">
      <c r="A2" s="33" t="s">
        <v>1192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787</v>
      </c>
      <c r="B4" s="22">
        <v>7.92</v>
      </c>
      <c r="C4" s="22">
        <f aca="true" t="shared" si="0" ref="C4:C14">B4*0.1</f>
        <v>0.792</v>
      </c>
      <c r="D4" s="22">
        <v>130</v>
      </c>
      <c r="E4" s="84">
        <f aca="true" t="shared" si="1" ref="E4:E15">D4/$D$16*$E$16</f>
        <v>0.6810216256524981</v>
      </c>
      <c r="F4" s="84">
        <f aca="true" t="shared" si="2" ref="F4:F14">B4+E4+C4</f>
        <v>9.393021625652498</v>
      </c>
      <c r="G4" s="145">
        <f aca="true" t="shared" si="3" ref="G4:G14">F4*$G$1</f>
        <v>611.3354194839673</v>
      </c>
      <c r="H4" s="119">
        <v>612</v>
      </c>
      <c r="I4" s="146">
        <f aca="true" t="shared" si="4" ref="I4:I14">H4-G4</f>
        <v>0.6645805160327427</v>
      </c>
    </row>
    <row r="5" spans="1:9" s="15" customFormat="1" ht="15">
      <c r="A5" s="103" t="s">
        <v>254</v>
      </c>
      <c r="B5" s="22">
        <v>8.08</v>
      </c>
      <c r="C5" s="22">
        <f t="shared" si="0"/>
        <v>0.808</v>
      </c>
      <c r="D5" s="22">
        <v>130</v>
      </c>
      <c r="E5" s="84">
        <f t="shared" si="1"/>
        <v>0.6810216256524981</v>
      </c>
      <c r="F5" s="84">
        <f>B5+E5+C5</f>
        <v>9.569021625652498</v>
      </c>
      <c r="G5" s="145">
        <f t="shared" si="3"/>
        <v>622.7902034839672</v>
      </c>
      <c r="H5" s="119">
        <v>651</v>
      </c>
      <c r="I5" s="146">
        <f>H5-G5</f>
        <v>28.20979651603284</v>
      </c>
    </row>
    <row r="6" spans="1:9" s="15" customFormat="1" ht="15">
      <c r="A6" s="103" t="s">
        <v>1193</v>
      </c>
      <c r="B6" s="22">
        <v>16.58</v>
      </c>
      <c r="C6" s="22">
        <f t="shared" si="0"/>
        <v>1.658</v>
      </c>
      <c r="D6" s="22">
        <v>500</v>
      </c>
      <c r="E6" s="84">
        <f t="shared" si="1"/>
        <v>2.619313944817301</v>
      </c>
      <c r="F6" s="84">
        <f t="shared" si="2"/>
        <v>20.8573139448173</v>
      </c>
      <c r="G6" s="145">
        <f t="shared" si="3"/>
        <v>1357.4774207844891</v>
      </c>
      <c r="H6" s="132">
        <v>1341</v>
      </c>
      <c r="I6" s="146">
        <f t="shared" si="4"/>
        <v>-16.47742078448914</v>
      </c>
    </row>
    <row r="7" spans="1:9" s="8" customFormat="1" ht="15">
      <c r="A7" s="104" t="s">
        <v>192</v>
      </c>
      <c r="B7" s="22">
        <v>7.04</v>
      </c>
      <c r="C7" s="22">
        <f t="shared" si="0"/>
        <v>0.7040000000000001</v>
      </c>
      <c r="D7" s="22">
        <v>550</v>
      </c>
      <c r="E7" s="84">
        <f t="shared" si="1"/>
        <v>2.8812453392990305</v>
      </c>
      <c r="F7" s="84">
        <f t="shared" si="2"/>
        <v>10.625245339299031</v>
      </c>
      <c r="G7" s="145">
        <f t="shared" si="3"/>
        <v>691.5334676629382</v>
      </c>
      <c r="H7" s="132">
        <v>700</v>
      </c>
      <c r="I7" s="146">
        <f t="shared" si="4"/>
        <v>8.466532337061835</v>
      </c>
    </row>
    <row r="8" spans="1:9" s="15" customFormat="1" ht="15">
      <c r="A8" s="103" t="s">
        <v>558</v>
      </c>
      <c r="B8" s="22">
        <v>7.04</v>
      </c>
      <c r="C8" s="22">
        <f t="shared" si="0"/>
        <v>0.7040000000000001</v>
      </c>
      <c r="D8" s="22">
        <v>550</v>
      </c>
      <c r="E8" s="84">
        <f t="shared" si="1"/>
        <v>2.8812453392990305</v>
      </c>
      <c r="F8" s="84">
        <f t="shared" si="2"/>
        <v>10.625245339299031</v>
      </c>
      <c r="G8" s="145">
        <f t="shared" si="3"/>
        <v>691.5334676629382</v>
      </c>
      <c r="H8" s="119">
        <v>694</v>
      </c>
      <c r="I8" s="146">
        <f t="shared" si="4"/>
        <v>2.4665323370618353</v>
      </c>
    </row>
    <row r="9" spans="1:9" s="15" customFormat="1" ht="15">
      <c r="A9" s="103" t="s">
        <v>990</v>
      </c>
      <c r="B9" s="22">
        <v>47.24</v>
      </c>
      <c r="C9" s="22">
        <f t="shared" si="0"/>
        <v>4.724</v>
      </c>
      <c r="D9" s="22">
        <v>1980</v>
      </c>
      <c r="E9" s="84">
        <f t="shared" si="1"/>
        <v>10.37248322147651</v>
      </c>
      <c r="F9" s="84">
        <f t="shared" si="2"/>
        <v>62.33648322147651</v>
      </c>
      <c r="G9" s="145">
        <f t="shared" si="3"/>
        <v>4057.1076739865775</v>
      </c>
      <c r="H9" s="150">
        <f>4042+11</f>
        <v>4053</v>
      </c>
      <c r="I9" s="146">
        <f t="shared" si="4"/>
        <v>-4.107673986577538</v>
      </c>
    </row>
    <row r="10" spans="1:9" s="15" customFormat="1" ht="15">
      <c r="A10" s="103" t="s">
        <v>155</v>
      </c>
      <c r="B10" s="22">
        <v>26.68</v>
      </c>
      <c r="C10" s="22">
        <f t="shared" si="0"/>
        <v>2.668</v>
      </c>
      <c r="D10" s="22">
        <v>1130</v>
      </c>
      <c r="E10" s="84">
        <f t="shared" si="1"/>
        <v>5.9196495152871</v>
      </c>
      <c r="F10" s="84">
        <f t="shared" si="2"/>
        <v>35.2676495152871</v>
      </c>
      <c r="G10" s="145">
        <f t="shared" si="3"/>
        <v>2295.3597010529456</v>
      </c>
      <c r="H10" s="150">
        <f>2242+52</f>
        <v>2294</v>
      </c>
      <c r="I10" s="146">
        <f t="shared" si="4"/>
        <v>-1.3597010529456384</v>
      </c>
    </row>
    <row r="11" spans="1:9" s="15" customFormat="1" ht="15">
      <c r="A11" s="103" t="s">
        <v>492</v>
      </c>
      <c r="B11" s="22">
        <v>19.5</v>
      </c>
      <c r="C11" s="22">
        <f t="shared" si="0"/>
        <v>1.9500000000000002</v>
      </c>
      <c r="D11" s="22">
        <v>590</v>
      </c>
      <c r="E11" s="84">
        <f t="shared" si="1"/>
        <v>3.0907904548844147</v>
      </c>
      <c r="F11" s="84">
        <f t="shared" si="2"/>
        <v>24.540790454884412</v>
      </c>
      <c r="G11" s="145">
        <f t="shared" si="3"/>
        <v>1597.2128059656973</v>
      </c>
      <c r="H11" s="119">
        <f>1594+3</f>
        <v>1597</v>
      </c>
      <c r="I11" s="146">
        <f t="shared" si="4"/>
        <v>-0.21280596569727095</v>
      </c>
    </row>
    <row r="12" spans="1:9" s="8" customFormat="1" ht="15">
      <c r="A12" s="104" t="s">
        <v>174</v>
      </c>
      <c r="B12" s="22">
        <v>56.85</v>
      </c>
      <c r="C12" s="22">
        <f t="shared" si="0"/>
        <v>5.6850000000000005</v>
      </c>
      <c r="D12" s="22">
        <v>170</v>
      </c>
      <c r="E12" s="84">
        <f t="shared" si="1"/>
        <v>0.8905667412378822</v>
      </c>
      <c r="F12" s="84">
        <f t="shared" si="2"/>
        <v>63.42556674123789</v>
      </c>
      <c r="G12" s="145">
        <f t="shared" si="3"/>
        <v>4127.989585786727</v>
      </c>
      <c r="H12" s="132">
        <v>4170</v>
      </c>
      <c r="I12" s="146">
        <f t="shared" si="4"/>
        <v>42.01041421327318</v>
      </c>
    </row>
    <row r="13" spans="1:9" s="15" customFormat="1" ht="15">
      <c r="A13" s="103" t="s">
        <v>1194</v>
      </c>
      <c r="B13" s="22">
        <v>18.41</v>
      </c>
      <c r="C13" s="22">
        <f t="shared" si="0"/>
        <v>1.8410000000000002</v>
      </c>
      <c r="D13" s="22">
        <v>890</v>
      </c>
      <c r="E13" s="84">
        <f t="shared" si="1"/>
        <v>4.662378821774795</v>
      </c>
      <c r="F13" s="84">
        <f t="shared" si="2"/>
        <v>24.913378821774796</v>
      </c>
      <c r="G13" s="145">
        <f t="shared" si="3"/>
        <v>1621.4623472363908</v>
      </c>
      <c r="H13" s="119">
        <f>1572+49</f>
        <v>1621</v>
      </c>
      <c r="I13" s="146">
        <f t="shared" si="4"/>
        <v>-0.46234723639076947</v>
      </c>
    </row>
    <row r="14" spans="1:9" s="15" customFormat="1" ht="15">
      <c r="A14" s="103" t="s">
        <v>1068</v>
      </c>
      <c r="B14" s="22">
        <v>9.07</v>
      </c>
      <c r="C14" s="22">
        <f t="shared" si="0"/>
        <v>0.907</v>
      </c>
      <c r="D14" s="22">
        <v>530</v>
      </c>
      <c r="E14" s="84">
        <f t="shared" si="1"/>
        <v>2.776472781506339</v>
      </c>
      <c r="F14" s="84">
        <f t="shared" si="2"/>
        <v>12.75347278150634</v>
      </c>
      <c r="G14" s="145">
        <f t="shared" si="3"/>
        <v>830.0470225115586</v>
      </c>
      <c r="H14" s="119">
        <f>804+26</f>
        <v>830</v>
      </c>
      <c r="I14" s="146">
        <f t="shared" si="4"/>
        <v>-0.04702251155856629</v>
      </c>
    </row>
    <row r="15" spans="1:10" s="8" customFormat="1" ht="15">
      <c r="A15" s="103" t="s">
        <v>224</v>
      </c>
      <c r="B15" s="85"/>
      <c r="C15" s="85"/>
      <c r="D15" s="22">
        <v>6260</v>
      </c>
      <c r="E15" s="84">
        <f t="shared" si="1"/>
        <v>32.7938105891126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13410</v>
      </c>
      <c r="E16" s="1">
        <v>70.25</v>
      </c>
      <c r="F16" s="113"/>
      <c r="G16" s="28"/>
      <c r="H16" s="28"/>
      <c r="I16" s="28"/>
    </row>
    <row r="17" ht="15">
      <c r="E17" s="183"/>
    </row>
    <row r="19" ht="28.5">
      <c r="A19" s="107"/>
    </row>
    <row r="20" ht="28.5">
      <c r="A20" s="107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205</v>
      </c>
      <c r="B1" s="10">
        <v>42892</v>
      </c>
      <c r="C1" s="10"/>
      <c r="D1" s="10"/>
      <c r="E1" s="10"/>
      <c r="F1" s="11" t="s">
        <v>206</v>
      </c>
      <c r="G1" s="106">
        <v>65.46</v>
      </c>
      <c r="H1" s="8" t="s">
        <v>207</v>
      </c>
      <c r="J1" s="154"/>
    </row>
    <row r="2" s="8" customFormat="1" ht="15">
      <c r="A2" s="33" t="s">
        <v>1200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1129</v>
      </c>
      <c r="B4" s="108">
        <v>16.58</v>
      </c>
      <c r="C4" s="22">
        <f>B4*0.1</f>
        <v>1.658</v>
      </c>
      <c r="D4" s="108">
        <v>940</v>
      </c>
      <c r="E4" s="84">
        <f>D4/$D$9*$E$9</f>
        <v>4.946441947565543</v>
      </c>
      <c r="F4" s="84">
        <f>B4+E4+C4</f>
        <v>23.184441947565542</v>
      </c>
      <c r="G4" s="145">
        <f>F4*$G$1</f>
        <v>1517.6535698876403</v>
      </c>
      <c r="H4" s="119">
        <v>1496</v>
      </c>
      <c r="I4" s="146">
        <f>H4-G4</f>
        <v>-21.653569887640288</v>
      </c>
    </row>
    <row r="5" spans="1:9" s="15" customFormat="1" ht="15">
      <c r="A5" s="103" t="s">
        <v>1140</v>
      </c>
      <c r="B5" s="22">
        <v>56.54</v>
      </c>
      <c r="C5" s="22">
        <f>B5*0.1</f>
        <v>5.654</v>
      </c>
      <c r="D5" s="22">
        <v>540</v>
      </c>
      <c r="E5" s="84">
        <f>D5/$D$9*$E$9</f>
        <v>2.841573033707865</v>
      </c>
      <c r="F5" s="84">
        <f>B5+E5+C5</f>
        <v>65.03557303370786</v>
      </c>
      <c r="G5" s="145">
        <f>F5*$G$1</f>
        <v>4257.228610786517</v>
      </c>
      <c r="H5" s="119">
        <f>4252+11</f>
        <v>4263</v>
      </c>
      <c r="I5" s="146">
        <f>H5-G5</f>
        <v>5.771389213483417</v>
      </c>
    </row>
    <row r="6" spans="1:9" s="15" customFormat="1" ht="15">
      <c r="A6" s="103" t="s">
        <v>178</v>
      </c>
      <c r="B6" s="22">
        <v>24</v>
      </c>
      <c r="C6" s="22">
        <f>B6*0.1</f>
        <v>2.4000000000000004</v>
      </c>
      <c r="D6" s="22">
        <v>255</v>
      </c>
      <c r="E6" s="84">
        <f>D6/$D$9*$E$9</f>
        <v>1.3418539325842698</v>
      </c>
      <c r="F6" s="84">
        <f>B6+E6+C6</f>
        <v>27.74185393258427</v>
      </c>
      <c r="G6" s="145">
        <f>F6*$G$1</f>
        <v>1815.981758426966</v>
      </c>
      <c r="H6" s="132">
        <f>1816+12</f>
        <v>1828</v>
      </c>
      <c r="I6" s="146">
        <f>H6-G6</f>
        <v>12.018241573033947</v>
      </c>
    </row>
    <row r="7" spans="1:9" s="8" customFormat="1" ht="15">
      <c r="A7" s="104" t="s">
        <v>1201</v>
      </c>
      <c r="B7" s="22">
        <v>32.79</v>
      </c>
      <c r="C7" s="22">
        <f>B7*0.1</f>
        <v>3.279</v>
      </c>
      <c r="D7" s="22">
        <v>1070</v>
      </c>
      <c r="E7" s="84">
        <f>D7/$D$9*$E$9</f>
        <v>5.630524344569288</v>
      </c>
      <c r="F7" s="84">
        <f>B7+E7+C7</f>
        <v>41.699524344569284</v>
      </c>
      <c r="G7" s="145">
        <f>F7*$G$1</f>
        <v>2729.650863595505</v>
      </c>
      <c r="H7" s="119">
        <v>2824</v>
      </c>
      <c r="I7" s="146">
        <f>H7-G7</f>
        <v>94.34913640449486</v>
      </c>
    </row>
    <row r="8" spans="1:10" s="8" customFormat="1" ht="15">
      <c r="A8" s="103" t="s">
        <v>224</v>
      </c>
      <c r="B8" s="85"/>
      <c r="C8" s="85"/>
      <c r="D8" s="22">
        <v>10545</v>
      </c>
      <c r="E8" s="84">
        <f>D8/$D$9*$E$9</f>
        <v>55.48960674157303</v>
      </c>
      <c r="F8" s="85"/>
      <c r="G8" s="28"/>
      <c r="H8" s="156"/>
      <c r="I8" s="28"/>
      <c r="J8" s="32"/>
    </row>
    <row r="9" spans="1:9" s="8" customFormat="1" ht="15">
      <c r="A9" s="25"/>
      <c r="B9" s="86"/>
      <c r="C9" s="86"/>
      <c r="D9" s="86">
        <f>SUM(D4:D8)</f>
        <v>13350</v>
      </c>
      <c r="E9" s="1">
        <v>70.25</v>
      </c>
      <c r="F9" s="113"/>
      <c r="G9" s="28"/>
      <c r="H9" s="28"/>
      <c r="I9" s="28"/>
    </row>
    <row r="10" ht="15">
      <c r="E10" s="183"/>
    </row>
    <row r="12" ht="28.5">
      <c r="A12" s="107"/>
    </row>
    <row r="13" ht="28.5">
      <c r="A13" s="107"/>
    </row>
    <row r="14" ht="28.5">
      <c r="A14" s="107"/>
    </row>
    <row r="15" ht="28.5">
      <c r="A15" s="107"/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205</v>
      </c>
      <c r="B1" s="10">
        <v>42902</v>
      </c>
      <c r="C1" s="10"/>
      <c r="D1" s="10"/>
      <c r="E1" s="10"/>
      <c r="F1" s="11" t="s">
        <v>206</v>
      </c>
      <c r="G1" s="106">
        <v>67.35</v>
      </c>
      <c r="H1" s="8" t="s">
        <v>207</v>
      </c>
      <c r="J1" s="154"/>
    </row>
    <row r="2" s="8" customFormat="1" ht="15">
      <c r="A2" s="33" t="s">
        <v>1204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850</v>
      </c>
      <c r="B4" s="22">
        <v>8.25</v>
      </c>
      <c r="C4" s="22">
        <f aca="true" t="shared" si="0" ref="C4:C15">B4*0.1</f>
        <v>0.8250000000000001</v>
      </c>
      <c r="D4" s="22">
        <v>65</v>
      </c>
      <c r="E4" s="84">
        <f aca="true" t="shared" si="1" ref="E4:E16">D4/$D$17*$E$17</f>
        <v>0.3361244019138756</v>
      </c>
      <c r="F4" s="84">
        <f aca="true" t="shared" si="2" ref="F4:F15">B4+E4+C4</f>
        <v>9.411124401913876</v>
      </c>
      <c r="G4" s="145">
        <f aca="true" t="shared" si="3" ref="G4:G15">F4*$G$1</f>
        <v>633.8392284688995</v>
      </c>
      <c r="H4" s="119">
        <v>616</v>
      </c>
      <c r="I4" s="146">
        <f aca="true" t="shared" si="4" ref="I4:I15">H4-G4</f>
        <v>-17.839228468899478</v>
      </c>
    </row>
    <row r="5" spans="1:9" s="15" customFormat="1" ht="15">
      <c r="A5" s="103" t="s">
        <v>1128</v>
      </c>
      <c r="B5" s="22">
        <v>8.25</v>
      </c>
      <c r="C5" s="22">
        <f t="shared" si="0"/>
        <v>0.8250000000000001</v>
      </c>
      <c r="D5" s="22">
        <v>65</v>
      </c>
      <c r="E5" s="84">
        <f t="shared" si="1"/>
        <v>0.3361244019138756</v>
      </c>
      <c r="F5" s="84">
        <f>B5+E5+C5</f>
        <v>9.411124401913876</v>
      </c>
      <c r="G5" s="145">
        <f t="shared" si="3"/>
        <v>633.8392284688995</v>
      </c>
      <c r="H5" s="119">
        <f>617+17</f>
        <v>634</v>
      </c>
      <c r="I5" s="146">
        <f>H5-G5</f>
        <v>0.16077153110052222</v>
      </c>
    </row>
    <row r="6" spans="1:9" s="15" customFormat="1" ht="15">
      <c r="A6" s="103" t="s">
        <v>1205</v>
      </c>
      <c r="B6" s="22">
        <v>8.25</v>
      </c>
      <c r="C6" s="22">
        <f t="shared" si="0"/>
        <v>0.8250000000000001</v>
      </c>
      <c r="D6" s="22">
        <v>65</v>
      </c>
      <c r="E6" s="84">
        <f t="shared" si="1"/>
        <v>0.3361244019138756</v>
      </c>
      <c r="F6" s="84">
        <f t="shared" si="2"/>
        <v>9.411124401913876</v>
      </c>
      <c r="G6" s="145">
        <f t="shared" si="3"/>
        <v>633.8392284688995</v>
      </c>
      <c r="H6" s="132">
        <v>616</v>
      </c>
      <c r="I6" s="146">
        <f t="shared" si="4"/>
        <v>-17.839228468899478</v>
      </c>
    </row>
    <row r="7" spans="1:10" s="8" customFormat="1" ht="15">
      <c r="A7" s="104" t="s">
        <v>192</v>
      </c>
      <c r="B7" s="22">
        <v>2.92</v>
      </c>
      <c r="C7" s="22">
        <f t="shared" si="0"/>
        <v>0.292</v>
      </c>
      <c r="D7" s="22">
        <v>135</v>
      </c>
      <c r="E7" s="84">
        <f t="shared" si="1"/>
        <v>0.6981045270518955</v>
      </c>
      <c r="F7" s="84">
        <f t="shared" si="2"/>
        <v>3.910104527051895</v>
      </c>
      <c r="G7" s="145">
        <f t="shared" si="3"/>
        <v>263.3455398969451</v>
      </c>
      <c r="H7" s="132">
        <v>270</v>
      </c>
      <c r="I7" s="146">
        <f t="shared" si="4"/>
        <v>6.654460103054873</v>
      </c>
      <c r="J7" s="8" t="s">
        <v>1213</v>
      </c>
    </row>
    <row r="8" spans="1:9" s="15" customFormat="1" ht="15">
      <c r="A8" s="103" t="s">
        <v>1150</v>
      </c>
      <c r="B8" s="22">
        <v>10.75</v>
      </c>
      <c r="C8" s="22">
        <f t="shared" si="0"/>
        <v>1.075</v>
      </c>
      <c r="D8" s="22">
        <v>820</v>
      </c>
      <c r="E8" s="84">
        <f t="shared" si="1"/>
        <v>4.240338608759661</v>
      </c>
      <c r="F8" s="84">
        <f t="shared" si="2"/>
        <v>16.06533860875966</v>
      </c>
      <c r="G8" s="145">
        <f t="shared" si="3"/>
        <v>1082.000555299963</v>
      </c>
      <c r="H8" s="119">
        <f>1070+38</f>
        <v>1108</v>
      </c>
      <c r="I8" s="146">
        <f t="shared" si="4"/>
        <v>25.999444700036975</v>
      </c>
    </row>
    <row r="9" spans="1:9" s="15" customFormat="1" ht="15">
      <c r="A9" s="103" t="s">
        <v>406</v>
      </c>
      <c r="B9" s="22">
        <v>15.75</v>
      </c>
      <c r="C9" s="22">
        <f t="shared" si="0"/>
        <v>1.5750000000000002</v>
      </c>
      <c r="D9" s="22">
        <v>65</v>
      </c>
      <c r="E9" s="84">
        <f t="shared" si="1"/>
        <v>0.3361244019138756</v>
      </c>
      <c r="F9" s="84">
        <f t="shared" si="2"/>
        <v>17.661124401913874</v>
      </c>
      <c r="G9" s="145">
        <f t="shared" si="3"/>
        <v>1189.4767284688994</v>
      </c>
      <c r="H9" s="119">
        <v>1157</v>
      </c>
      <c r="I9" s="146">
        <f t="shared" si="4"/>
        <v>-32.47672846889941</v>
      </c>
    </row>
    <row r="10" spans="1:9" s="15" customFormat="1" ht="15">
      <c r="A10" s="103" t="s">
        <v>517</v>
      </c>
      <c r="B10" s="22">
        <v>9.92</v>
      </c>
      <c r="C10" s="22">
        <f t="shared" si="0"/>
        <v>0.992</v>
      </c>
      <c r="D10" s="22">
        <v>180</v>
      </c>
      <c r="E10" s="84">
        <f t="shared" si="1"/>
        <v>0.9308060360691939</v>
      </c>
      <c r="F10" s="84">
        <f t="shared" si="2"/>
        <v>11.842806036069195</v>
      </c>
      <c r="G10" s="145">
        <f t="shared" si="3"/>
        <v>797.6129865292602</v>
      </c>
      <c r="H10" s="150">
        <v>833</v>
      </c>
      <c r="I10" s="146">
        <f t="shared" si="4"/>
        <v>35.38701347073982</v>
      </c>
    </row>
    <row r="11" spans="1:9" s="15" customFormat="1" ht="15">
      <c r="A11" s="103" t="s">
        <v>1060</v>
      </c>
      <c r="B11" s="22">
        <v>14.08</v>
      </c>
      <c r="C11" s="22">
        <f t="shared" si="0"/>
        <v>1.4080000000000001</v>
      </c>
      <c r="D11" s="22">
        <v>205</v>
      </c>
      <c r="E11" s="84">
        <f t="shared" si="1"/>
        <v>1.0600846521899152</v>
      </c>
      <c r="F11" s="84">
        <f t="shared" si="2"/>
        <v>16.548084652189917</v>
      </c>
      <c r="G11" s="145">
        <f t="shared" si="3"/>
        <v>1114.5135013249908</v>
      </c>
      <c r="H11" s="119">
        <v>1078</v>
      </c>
      <c r="I11" s="146">
        <f t="shared" si="4"/>
        <v>-36.513501324990784</v>
      </c>
    </row>
    <row r="12" spans="1:9" s="8" customFormat="1" ht="15">
      <c r="A12" s="104" t="s">
        <v>145</v>
      </c>
      <c r="B12" s="22">
        <v>24.35</v>
      </c>
      <c r="C12" s="22">
        <f t="shared" si="0"/>
        <v>2.4350000000000005</v>
      </c>
      <c r="D12" s="22">
        <v>725</v>
      </c>
      <c r="E12" s="84">
        <f t="shared" si="1"/>
        <v>3.74907986750092</v>
      </c>
      <c r="F12" s="84">
        <f t="shared" si="2"/>
        <v>30.53407986750092</v>
      </c>
      <c r="G12" s="145">
        <f t="shared" si="3"/>
        <v>2056.4702790761867</v>
      </c>
      <c r="H12" s="119">
        <v>1998</v>
      </c>
      <c r="I12" s="146">
        <f t="shared" si="4"/>
        <v>-58.47027907618667</v>
      </c>
    </row>
    <row r="13" spans="1:9" s="15" customFormat="1" ht="15">
      <c r="A13" s="103" t="s">
        <v>174</v>
      </c>
      <c r="B13" s="22">
        <v>24.04</v>
      </c>
      <c r="C13" s="22">
        <f t="shared" si="0"/>
        <v>2.404</v>
      </c>
      <c r="D13" s="22">
        <v>850</v>
      </c>
      <c r="E13" s="84">
        <f t="shared" si="1"/>
        <v>4.395472948104527</v>
      </c>
      <c r="F13" s="84">
        <f t="shared" si="2"/>
        <v>30.839472948104525</v>
      </c>
      <c r="G13" s="145">
        <f t="shared" si="3"/>
        <v>2077.0385030548396</v>
      </c>
      <c r="H13" s="119">
        <v>2069</v>
      </c>
      <c r="I13" s="146">
        <f t="shared" si="4"/>
        <v>-8.038503054839566</v>
      </c>
    </row>
    <row r="14" spans="1:9" s="15" customFormat="1" ht="15">
      <c r="A14" s="103" t="s">
        <v>1212</v>
      </c>
      <c r="B14" s="22">
        <v>12.08</v>
      </c>
      <c r="C14" s="22">
        <f t="shared" si="0"/>
        <v>1.2080000000000002</v>
      </c>
      <c r="D14" s="22">
        <v>820</v>
      </c>
      <c r="E14" s="84">
        <f>D14/$D$17*$E$17</f>
        <v>4.240338608759661</v>
      </c>
      <c r="F14" s="84">
        <f>B14+E14+C14</f>
        <v>17.52833860875966</v>
      </c>
      <c r="G14" s="145">
        <f>F14*$G$1</f>
        <v>1180.533605299963</v>
      </c>
      <c r="H14" s="119">
        <v>1140</v>
      </c>
      <c r="I14" s="146">
        <f>H14-G14</f>
        <v>-40.53360529996303</v>
      </c>
    </row>
    <row r="15" spans="1:9" s="15" customFormat="1" ht="15">
      <c r="A15" s="103" t="s">
        <v>1206</v>
      </c>
      <c r="B15" s="22">
        <v>24.68</v>
      </c>
      <c r="C15" s="22">
        <f t="shared" si="0"/>
        <v>2.468</v>
      </c>
      <c r="D15" s="22">
        <v>815</v>
      </c>
      <c r="E15" s="84">
        <f t="shared" si="1"/>
        <v>4.214482885535517</v>
      </c>
      <c r="F15" s="84">
        <f t="shared" si="2"/>
        <v>31.362482885535517</v>
      </c>
      <c r="G15" s="145">
        <f t="shared" si="3"/>
        <v>2112.263222340817</v>
      </c>
      <c r="H15" s="119">
        <v>2047</v>
      </c>
      <c r="I15" s="146">
        <f t="shared" si="4"/>
        <v>-65.26322234081681</v>
      </c>
    </row>
    <row r="16" spans="1:10" s="8" customFormat="1" ht="15">
      <c r="A16" s="103" t="s">
        <v>224</v>
      </c>
      <c r="B16" s="85"/>
      <c r="C16" s="85"/>
      <c r="D16" s="22">
        <v>8775</v>
      </c>
      <c r="E16" s="84">
        <f t="shared" si="1"/>
        <v>45.37679425837321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13585</v>
      </c>
      <c r="E17" s="1">
        <v>70.25</v>
      </c>
      <c r="F17" s="113"/>
      <c r="G17" s="28"/>
      <c r="H17" s="28"/>
      <c r="I17" s="28"/>
    </row>
    <row r="18" ht="15">
      <c r="E18" s="183"/>
    </row>
    <row r="20" ht="28.5">
      <c r="A20" s="107"/>
    </row>
    <row r="21" ht="28.5">
      <c r="A21" s="107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205</v>
      </c>
      <c r="B1" s="10">
        <v>42913</v>
      </c>
      <c r="C1" s="10"/>
      <c r="D1" s="10"/>
      <c r="E1" s="10"/>
      <c r="F1" s="11" t="s">
        <v>206</v>
      </c>
      <c r="G1" s="106">
        <f>69.68</f>
        <v>69.68</v>
      </c>
      <c r="H1" s="8" t="s">
        <v>207</v>
      </c>
      <c r="J1" s="154"/>
    </row>
    <row r="2" s="8" customFormat="1" ht="15">
      <c r="A2" s="33" t="s">
        <v>1214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1206</v>
      </c>
      <c r="B4" s="22">
        <v>4.6</v>
      </c>
      <c r="C4" s="22">
        <f aca="true" t="shared" si="0" ref="C4:C15">B4*0.1</f>
        <v>0.45999999999999996</v>
      </c>
      <c r="D4" s="22">
        <v>20</v>
      </c>
      <c r="E4" s="84">
        <f aca="true" t="shared" si="1" ref="E4:E18">D4/$D$19*$E$19</f>
        <v>0.10327085630282985</v>
      </c>
      <c r="F4" s="84">
        <f aca="true" t="shared" si="2" ref="F4:F15">B4+E4+C4</f>
        <v>5.163270856302829</v>
      </c>
      <c r="G4" s="145">
        <f aca="true" t="shared" si="3" ref="G4:G15">F4*$G$1</f>
        <v>359.7767132671812</v>
      </c>
      <c r="H4" s="119">
        <f>415+10</f>
        <v>425</v>
      </c>
      <c r="I4" s="146">
        <f aca="true" t="shared" si="4" ref="I4:I15">H4-G4</f>
        <v>65.22328673281879</v>
      </c>
    </row>
    <row r="5" spans="1:9" s="15" customFormat="1" ht="15">
      <c r="A5" s="103" t="s">
        <v>102</v>
      </c>
      <c r="B5" s="22">
        <v>5.97</v>
      </c>
      <c r="C5" s="22">
        <f t="shared" si="0"/>
        <v>0.597</v>
      </c>
      <c r="D5" s="22">
        <v>500</v>
      </c>
      <c r="E5" s="84">
        <f t="shared" si="1"/>
        <v>2.581771407570746</v>
      </c>
      <c r="F5" s="84">
        <f>B5+E5+C5</f>
        <v>9.148771407570745</v>
      </c>
      <c r="G5" s="145">
        <f t="shared" si="3"/>
        <v>637.4863916795296</v>
      </c>
      <c r="H5" s="132">
        <v>626</v>
      </c>
      <c r="I5" s="146">
        <f>H5-G5</f>
        <v>-11.48639167952956</v>
      </c>
    </row>
    <row r="6" spans="1:9" s="15" customFormat="1" ht="15">
      <c r="A6" s="103" t="s">
        <v>155</v>
      </c>
      <c r="B6" s="22">
        <v>5.74</v>
      </c>
      <c r="C6" s="22">
        <f t="shared" si="0"/>
        <v>0.5740000000000001</v>
      </c>
      <c r="D6" s="22">
        <v>130</v>
      </c>
      <c r="E6" s="84">
        <f t="shared" si="1"/>
        <v>0.671260565968394</v>
      </c>
      <c r="F6" s="84">
        <f t="shared" si="2"/>
        <v>6.985260565968394</v>
      </c>
      <c r="G6" s="145">
        <f t="shared" si="3"/>
        <v>486.73295623667775</v>
      </c>
      <c r="H6" s="132">
        <f>475+12</f>
        <v>487</v>
      </c>
      <c r="I6" s="146">
        <f t="shared" si="4"/>
        <v>0.2670437633222491</v>
      </c>
    </row>
    <row r="7" spans="1:9" s="8" customFormat="1" ht="15">
      <c r="A7" s="104" t="s">
        <v>127</v>
      </c>
      <c r="B7" s="22">
        <v>10.75</v>
      </c>
      <c r="C7" s="22">
        <f t="shared" si="0"/>
        <v>1.075</v>
      </c>
      <c r="D7" s="22">
        <v>30</v>
      </c>
      <c r="E7" s="84">
        <f t="shared" si="1"/>
        <v>0.15490628445424476</v>
      </c>
      <c r="F7" s="84">
        <f t="shared" si="2"/>
        <v>11.979906284454245</v>
      </c>
      <c r="G7" s="145">
        <f t="shared" si="3"/>
        <v>834.7598699007718</v>
      </c>
      <c r="H7" s="132">
        <f>812+23</f>
        <v>835</v>
      </c>
      <c r="I7" s="146">
        <f t="shared" si="4"/>
        <v>0.24013009922816764</v>
      </c>
    </row>
    <row r="8" spans="1:9" s="15" customFormat="1" ht="15">
      <c r="A8" s="103" t="s">
        <v>1215</v>
      </c>
      <c r="B8" s="22">
        <v>9.08</v>
      </c>
      <c r="C8" s="22">
        <f t="shared" si="0"/>
        <v>0.908</v>
      </c>
      <c r="D8" s="22">
        <v>65</v>
      </c>
      <c r="E8" s="84">
        <f t="shared" si="1"/>
        <v>0.335630282984197</v>
      </c>
      <c r="F8" s="84">
        <f t="shared" si="2"/>
        <v>10.323630282984196</v>
      </c>
      <c r="G8" s="145">
        <f t="shared" si="3"/>
        <v>719.3505581183389</v>
      </c>
      <c r="H8" s="119">
        <f>700+19</f>
        <v>719</v>
      </c>
      <c r="I8" s="146">
        <f t="shared" si="4"/>
        <v>-0.3505581183388813</v>
      </c>
    </row>
    <row r="9" spans="1:9" s="15" customFormat="1" ht="15">
      <c r="A9" s="103" t="s">
        <v>1216</v>
      </c>
      <c r="B9" s="22">
        <v>8.06</v>
      </c>
      <c r="C9" s="22">
        <f t="shared" si="0"/>
        <v>0.806</v>
      </c>
      <c r="D9" s="22">
        <v>90</v>
      </c>
      <c r="E9" s="84">
        <f t="shared" si="1"/>
        <v>0.4647188533627343</v>
      </c>
      <c r="F9" s="84">
        <f t="shared" si="2"/>
        <v>9.330718853362736</v>
      </c>
      <c r="G9" s="145">
        <f t="shared" si="3"/>
        <v>650.1644897023156</v>
      </c>
      <c r="H9" s="132">
        <f>622+28</f>
        <v>650</v>
      </c>
      <c r="I9" s="146">
        <f t="shared" si="4"/>
        <v>-0.1644897023155636</v>
      </c>
    </row>
    <row r="10" spans="1:9" s="15" customFormat="1" ht="15">
      <c r="A10" s="103" t="s">
        <v>87</v>
      </c>
      <c r="B10" s="22">
        <v>13.545</v>
      </c>
      <c r="C10" s="22">
        <f t="shared" si="0"/>
        <v>1.3545</v>
      </c>
      <c r="D10" s="22">
        <v>470</v>
      </c>
      <c r="E10" s="84">
        <f t="shared" si="1"/>
        <v>2.4268651231165013</v>
      </c>
      <c r="F10" s="84">
        <f t="shared" si="2"/>
        <v>17.326365123116503</v>
      </c>
      <c r="G10" s="145">
        <f t="shared" si="3"/>
        <v>1207.301121778758</v>
      </c>
      <c r="H10" s="150">
        <f>1182+28</f>
        <v>1210</v>
      </c>
      <c r="I10" s="146">
        <f t="shared" si="4"/>
        <v>2.698878221242012</v>
      </c>
    </row>
    <row r="11" spans="1:9" s="15" customFormat="1" ht="15">
      <c r="A11" s="103" t="s">
        <v>694</v>
      </c>
      <c r="B11" s="22">
        <v>18.66</v>
      </c>
      <c r="C11" s="22">
        <f t="shared" si="0"/>
        <v>1.866</v>
      </c>
      <c r="D11" s="22">
        <v>550</v>
      </c>
      <c r="E11" s="84">
        <f t="shared" si="1"/>
        <v>2.8399485483278206</v>
      </c>
      <c r="F11" s="84">
        <f t="shared" si="2"/>
        <v>23.36594854832782</v>
      </c>
      <c r="G11" s="145">
        <f t="shared" si="3"/>
        <v>1628.1392948474827</v>
      </c>
      <c r="H11" s="132">
        <f>1581+53</f>
        <v>1634</v>
      </c>
      <c r="I11" s="146">
        <f t="shared" si="4"/>
        <v>5.860705152517312</v>
      </c>
    </row>
    <row r="12" spans="1:9" s="8" customFormat="1" ht="15">
      <c r="A12" s="104" t="s">
        <v>813</v>
      </c>
      <c r="B12" s="22">
        <v>23.57</v>
      </c>
      <c r="C12" s="22">
        <f t="shared" si="0"/>
        <v>2.357</v>
      </c>
      <c r="D12" s="22">
        <v>905</v>
      </c>
      <c r="E12" s="84">
        <f t="shared" si="1"/>
        <v>4.67300624770305</v>
      </c>
      <c r="F12" s="84">
        <f t="shared" si="2"/>
        <v>30.60000624770305</v>
      </c>
      <c r="G12" s="145">
        <f t="shared" si="3"/>
        <v>2132.2084353399487</v>
      </c>
      <c r="H12" s="119">
        <v>2060</v>
      </c>
      <c r="I12" s="146">
        <f t="shared" si="4"/>
        <v>-72.20843533994866</v>
      </c>
    </row>
    <row r="13" spans="1:9" s="15" customFormat="1" ht="15">
      <c r="A13" s="103" t="s">
        <v>418</v>
      </c>
      <c r="B13" s="22">
        <v>52.99</v>
      </c>
      <c r="C13" s="22">
        <f t="shared" si="0"/>
        <v>5.299</v>
      </c>
      <c r="D13" s="22">
        <v>380</v>
      </c>
      <c r="E13" s="84">
        <f t="shared" si="1"/>
        <v>1.962146269753767</v>
      </c>
      <c r="F13" s="84">
        <f t="shared" si="2"/>
        <v>60.25114626975377</v>
      </c>
      <c r="G13" s="145">
        <f t="shared" si="3"/>
        <v>4198.299872076443</v>
      </c>
      <c r="H13" s="132">
        <v>4232</v>
      </c>
      <c r="I13" s="146">
        <f t="shared" si="4"/>
        <v>33.700127923557375</v>
      </c>
    </row>
    <row r="14" spans="1:9" s="15" customFormat="1" ht="15">
      <c r="A14" s="103" t="s">
        <v>1217</v>
      </c>
      <c r="B14" s="22">
        <v>23.44</v>
      </c>
      <c r="C14" s="22">
        <f t="shared" si="0"/>
        <v>2.3440000000000003</v>
      </c>
      <c r="D14" s="22">
        <v>640</v>
      </c>
      <c r="E14" s="84">
        <f>D14/$D$19*$E$19</f>
        <v>3.3046674016905553</v>
      </c>
      <c r="F14" s="84">
        <f>B14+E14+C14</f>
        <v>29.088667401690557</v>
      </c>
      <c r="G14" s="145">
        <f>F14*$G$1</f>
        <v>2026.8983445497981</v>
      </c>
      <c r="H14" s="119">
        <f>1930+97</f>
        <v>2027</v>
      </c>
      <c r="I14" s="146">
        <f>H14-G14</f>
        <v>0.10165545020186073</v>
      </c>
    </row>
    <row r="15" spans="1:9" s="15" customFormat="1" ht="15">
      <c r="A15" s="103" t="s">
        <v>1218</v>
      </c>
      <c r="B15" s="22">
        <v>17.845</v>
      </c>
      <c r="C15" s="22">
        <f t="shared" si="0"/>
        <v>1.7845</v>
      </c>
      <c r="D15" s="22">
        <v>1610</v>
      </c>
      <c r="E15" s="84">
        <f t="shared" si="1"/>
        <v>8.313303932377803</v>
      </c>
      <c r="F15" s="84">
        <f t="shared" si="2"/>
        <v>27.942803932377803</v>
      </c>
      <c r="G15" s="145">
        <f t="shared" si="3"/>
        <v>1947.0545780080854</v>
      </c>
      <c r="H15" s="119">
        <f>1914+33</f>
        <v>1947</v>
      </c>
      <c r="I15" s="146">
        <f t="shared" si="4"/>
        <v>-0.05457800808540014</v>
      </c>
    </row>
    <row r="16" spans="1:9" s="15" customFormat="1" ht="15">
      <c r="A16" s="103" t="s">
        <v>921</v>
      </c>
      <c r="B16" s="22">
        <v>39.75</v>
      </c>
      <c r="C16" s="22">
        <f>B16*0.1</f>
        <v>3.975</v>
      </c>
      <c r="D16" s="22">
        <v>290</v>
      </c>
      <c r="E16" s="84">
        <f>D16/$D$19*$E$19</f>
        <v>1.4974274163910328</v>
      </c>
      <c r="F16" s="84">
        <f>B16+E16+C16</f>
        <v>45.222427416391035</v>
      </c>
      <c r="G16" s="145">
        <f>F16*$G$1</f>
        <v>3151.0987423741276</v>
      </c>
      <c r="H16" s="132">
        <f>3073+84</f>
        <v>3157</v>
      </c>
      <c r="I16" s="146">
        <f>H16-G16</f>
        <v>5.901257625872404</v>
      </c>
    </row>
    <row r="17" spans="1:9" s="15" customFormat="1" ht="15">
      <c r="A17" s="103" t="s">
        <v>740</v>
      </c>
      <c r="B17" s="22">
        <v>95.16</v>
      </c>
      <c r="C17" s="22">
        <f>B17*0.1</f>
        <v>9.516</v>
      </c>
      <c r="D17" s="22">
        <v>1455</v>
      </c>
      <c r="E17" s="84">
        <f>D17/$D$19*$E$19</f>
        <v>7.512954796030871</v>
      </c>
      <c r="F17" s="84">
        <f>B17+E17+C17</f>
        <v>112.18895479603087</v>
      </c>
      <c r="G17" s="145">
        <f>F17*$G$1</f>
        <v>7817.326370187432</v>
      </c>
      <c r="H17" s="132">
        <f>7583+214</f>
        <v>7797</v>
      </c>
      <c r="I17" s="146">
        <f>H17-G17</f>
        <v>-20.326370187432076</v>
      </c>
    </row>
    <row r="18" spans="1:10" s="8" customFormat="1" ht="15">
      <c r="A18" s="103" t="s">
        <v>224</v>
      </c>
      <c r="B18" s="85"/>
      <c r="C18" s="85"/>
      <c r="D18" s="22">
        <v>6470</v>
      </c>
      <c r="E18" s="84">
        <f t="shared" si="1"/>
        <v>33.40812201396545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13605</v>
      </c>
      <c r="E19" s="1">
        <v>70.25</v>
      </c>
      <c r="F19" s="113"/>
      <c r="G19" s="28"/>
      <c r="H19" s="28"/>
      <c r="I19" s="28"/>
    </row>
    <row r="20" ht="15">
      <c r="E20" s="183"/>
    </row>
    <row r="22" ht="28.5">
      <c r="A22" s="107"/>
    </row>
    <row r="23" ht="28.5">
      <c r="A23" s="107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9" width="12.00390625" style="0" customWidth="1"/>
  </cols>
  <sheetData>
    <row r="1" spans="1:10" s="8" customFormat="1" ht="21">
      <c r="A1" s="9" t="s">
        <v>205</v>
      </c>
      <c r="B1" s="10">
        <v>42930</v>
      </c>
      <c r="C1" s="10"/>
      <c r="D1" s="10"/>
      <c r="E1" s="10"/>
      <c r="F1" s="11" t="s">
        <v>206</v>
      </c>
      <c r="G1" s="106">
        <v>69.92</v>
      </c>
      <c r="H1" s="8" t="s">
        <v>207</v>
      </c>
      <c r="J1" s="154"/>
    </row>
    <row r="2" s="8" customFormat="1" ht="15">
      <c r="A2" s="33" t="s">
        <v>1224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1225</v>
      </c>
      <c r="B4" s="22">
        <v>9.58</v>
      </c>
      <c r="C4" s="22">
        <f aca="true" t="shared" si="0" ref="C4:C13">B4*0.1</f>
        <v>0.9580000000000001</v>
      </c>
      <c r="D4" s="22">
        <v>460</v>
      </c>
      <c r="E4" s="84">
        <f aca="true" t="shared" si="1" ref="E4:E14">D4/$D$15*$E$15</f>
        <v>2.49540757749713</v>
      </c>
      <c r="F4" s="84">
        <f aca="true" t="shared" si="2" ref="F4:F13">B4+E4+C4</f>
        <v>13.03340757749713</v>
      </c>
      <c r="G4" s="145">
        <f aca="true" t="shared" si="3" ref="G4:G13">F4*$G$1</f>
        <v>911.2958578185993</v>
      </c>
      <c r="H4" s="132">
        <v>937</v>
      </c>
      <c r="I4" s="146">
        <f aca="true" t="shared" si="4" ref="I4:I13">H4-G4</f>
        <v>25.704142181400698</v>
      </c>
    </row>
    <row r="5" spans="1:9" s="15" customFormat="1" ht="15">
      <c r="A5" s="103" t="s">
        <v>1081</v>
      </c>
      <c r="B5" s="22">
        <v>2.45</v>
      </c>
      <c r="C5" s="22">
        <f t="shared" si="0"/>
        <v>0.24500000000000002</v>
      </c>
      <c r="D5" s="22">
        <v>20</v>
      </c>
      <c r="E5" s="84">
        <f t="shared" si="1"/>
        <v>0.10849598163030999</v>
      </c>
      <c r="F5" s="84">
        <f>B5+E5+C5</f>
        <v>2.80349598163031</v>
      </c>
      <c r="G5" s="145">
        <f t="shared" si="3"/>
        <v>196.0204390355913</v>
      </c>
      <c r="H5" s="132">
        <v>200</v>
      </c>
      <c r="I5" s="146">
        <f>H5-G5</f>
        <v>3.979560964408705</v>
      </c>
    </row>
    <row r="6" spans="1:9" s="15" customFormat="1" ht="15">
      <c r="A6" s="103" t="s">
        <v>1226</v>
      </c>
      <c r="B6" s="22">
        <v>28.67</v>
      </c>
      <c r="C6" s="22">
        <f t="shared" si="0"/>
        <v>2.8670000000000004</v>
      </c>
      <c r="D6" s="22">
        <v>335</v>
      </c>
      <c r="E6" s="84">
        <f t="shared" si="1"/>
        <v>1.8173076923076925</v>
      </c>
      <c r="F6" s="84">
        <f t="shared" si="2"/>
        <v>33.35430769230769</v>
      </c>
      <c r="G6" s="145">
        <f t="shared" si="3"/>
        <v>2332.133193846154</v>
      </c>
      <c r="H6" s="132">
        <f>2307+25</f>
        <v>2332</v>
      </c>
      <c r="I6" s="146">
        <f t="shared" si="4"/>
        <v>-0.13319384615397212</v>
      </c>
    </row>
    <row r="7" spans="1:9" s="8" customFormat="1" ht="15">
      <c r="A7" s="104" t="s">
        <v>418</v>
      </c>
      <c r="B7" s="22">
        <v>9.13</v>
      </c>
      <c r="C7" s="22">
        <f t="shared" si="0"/>
        <v>0.9130000000000001</v>
      </c>
      <c r="D7" s="22">
        <v>80</v>
      </c>
      <c r="E7" s="84">
        <f t="shared" si="1"/>
        <v>0.43398392652123996</v>
      </c>
      <c r="F7" s="84">
        <f t="shared" si="2"/>
        <v>10.47698392652124</v>
      </c>
      <c r="G7" s="145">
        <f t="shared" si="3"/>
        <v>732.5507161423652</v>
      </c>
      <c r="H7" s="119">
        <v>860</v>
      </c>
      <c r="I7" s="146">
        <f t="shared" si="4"/>
        <v>127.44928385763478</v>
      </c>
    </row>
    <row r="8" spans="1:9" s="15" customFormat="1" ht="15">
      <c r="A8" s="103" t="s">
        <v>1227</v>
      </c>
      <c r="B8" s="22">
        <v>6.58</v>
      </c>
      <c r="C8" s="22">
        <f t="shared" si="0"/>
        <v>0.658</v>
      </c>
      <c r="D8" s="22">
        <v>550</v>
      </c>
      <c r="E8" s="84">
        <f t="shared" si="1"/>
        <v>2.9836394948335245</v>
      </c>
      <c r="F8" s="84">
        <f t="shared" si="2"/>
        <v>10.221639494833523</v>
      </c>
      <c r="G8" s="145">
        <f t="shared" si="3"/>
        <v>714.69703347876</v>
      </c>
      <c r="H8" s="132">
        <v>744</v>
      </c>
      <c r="I8" s="146">
        <f t="shared" si="4"/>
        <v>29.302966521240023</v>
      </c>
    </row>
    <row r="9" spans="1:9" s="15" customFormat="1" ht="15">
      <c r="A9" s="103" t="s">
        <v>174</v>
      </c>
      <c r="B9" s="22">
        <v>26.5</v>
      </c>
      <c r="C9" s="22">
        <f t="shared" si="0"/>
        <v>2.6500000000000004</v>
      </c>
      <c r="D9" s="22">
        <v>480</v>
      </c>
      <c r="E9" s="84">
        <f t="shared" si="1"/>
        <v>2.6039035591274398</v>
      </c>
      <c r="F9" s="84">
        <f t="shared" si="2"/>
        <v>31.753903559127437</v>
      </c>
      <c r="G9" s="145">
        <f t="shared" si="3"/>
        <v>2220.2329368541905</v>
      </c>
      <c r="H9" s="132">
        <v>2275</v>
      </c>
      <c r="I9" s="146">
        <f t="shared" si="4"/>
        <v>54.767063145809516</v>
      </c>
    </row>
    <row r="10" spans="1:9" s="15" customFormat="1" ht="15">
      <c r="A10" s="103" t="s">
        <v>1228</v>
      </c>
      <c r="B10" s="22">
        <v>18.25</v>
      </c>
      <c r="C10" s="22">
        <f t="shared" si="0"/>
        <v>1.8250000000000002</v>
      </c>
      <c r="D10" s="22">
        <v>125</v>
      </c>
      <c r="E10" s="84">
        <f t="shared" si="1"/>
        <v>0.6780998851894374</v>
      </c>
      <c r="F10" s="84">
        <f t="shared" si="2"/>
        <v>20.753099885189435</v>
      </c>
      <c r="G10" s="145">
        <f t="shared" si="3"/>
        <v>1451.0567439724452</v>
      </c>
      <c r="H10" s="132">
        <v>1481</v>
      </c>
      <c r="I10" s="146">
        <f t="shared" si="4"/>
        <v>29.943256027554753</v>
      </c>
    </row>
    <row r="11" spans="1:9" s="15" customFormat="1" ht="15">
      <c r="A11" s="103" t="s">
        <v>747</v>
      </c>
      <c r="B11" s="22">
        <v>17.33</v>
      </c>
      <c r="C11" s="22">
        <f t="shared" si="0"/>
        <v>1.7329999999999999</v>
      </c>
      <c r="D11" s="22">
        <v>1040</v>
      </c>
      <c r="E11" s="84">
        <f t="shared" si="1"/>
        <v>5.641791044776119</v>
      </c>
      <c r="F11" s="84">
        <f t="shared" si="2"/>
        <v>24.70479104477612</v>
      </c>
      <c r="G11" s="145">
        <f t="shared" si="3"/>
        <v>1727.3589898507462</v>
      </c>
      <c r="H11" s="132">
        <f>1555+16</f>
        <v>1571</v>
      </c>
      <c r="I11" s="146">
        <f t="shared" si="4"/>
        <v>-156.35898985074618</v>
      </c>
    </row>
    <row r="12" spans="1:9" s="8" customFormat="1" ht="15">
      <c r="A12" s="104" t="s">
        <v>254</v>
      </c>
      <c r="B12" s="22">
        <f>35.99-2.04</f>
        <v>33.95</v>
      </c>
      <c r="C12" s="22">
        <f t="shared" si="0"/>
        <v>3.3950000000000005</v>
      </c>
      <c r="D12" s="22">
        <v>520</v>
      </c>
      <c r="E12" s="84">
        <f t="shared" si="1"/>
        <v>2.8208955223880596</v>
      </c>
      <c r="F12" s="84">
        <f t="shared" si="2"/>
        <v>40.16589552238806</v>
      </c>
      <c r="G12" s="145">
        <f t="shared" si="3"/>
        <v>2808.3994149253735</v>
      </c>
      <c r="H12" s="132">
        <v>3043</v>
      </c>
      <c r="I12" s="146">
        <f t="shared" si="4"/>
        <v>234.60058507462645</v>
      </c>
    </row>
    <row r="13" spans="1:9" s="15" customFormat="1" ht="15">
      <c r="A13" s="103" t="s">
        <v>1229</v>
      </c>
      <c r="B13" s="22">
        <v>23.42</v>
      </c>
      <c r="C13" s="22">
        <f t="shared" si="0"/>
        <v>2.342</v>
      </c>
      <c r="D13" s="22">
        <v>530</v>
      </c>
      <c r="E13" s="84">
        <f t="shared" si="1"/>
        <v>2.8751435132032146</v>
      </c>
      <c r="F13" s="84">
        <f t="shared" si="2"/>
        <v>28.637143513203213</v>
      </c>
      <c r="G13" s="145">
        <f t="shared" si="3"/>
        <v>2002.3090744431688</v>
      </c>
      <c r="H13" s="132">
        <f>1992+10</f>
        <v>2002</v>
      </c>
      <c r="I13" s="146">
        <f t="shared" si="4"/>
        <v>-0.30907444316881083</v>
      </c>
    </row>
    <row r="14" spans="1:10" s="8" customFormat="1" ht="15">
      <c r="A14" s="103" t="s">
        <v>224</v>
      </c>
      <c r="B14" s="85"/>
      <c r="C14" s="85"/>
      <c r="D14" s="22">
        <v>4570</v>
      </c>
      <c r="E14" s="84">
        <f t="shared" si="1"/>
        <v>24.791331802525832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8710</v>
      </c>
      <c r="E15" s="1">
        <v>47.25</v>
      </c>
      <c r="F15" s="113"/>
      <c r="G15" s="28"/>
      <c r="H15" s="28"/>
      <c r="I15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205</v>
      </c>
      <c r="B1" s="10">
        <v>42943</v>
      </c>
      <c r="C1" s="10"/>
      <c r="D1" s="10"/>
      <c r="E1" s="10"/>
      <c r="F1" s="11" t="s">
        <v>206</v>
      </c>
      <c r="G1" s="106">
        <v>72.671</v>
      </c>
      <c r="H1" s="8" t="s">
        <v>207</v>
      </c>
      <c r="J1" s="154"/>
    </row>
    <row r="2" s="8" customFormat="1" ht="15">
      <c r="A2" s="33" t="s">
        <v>1232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1233</v>
      </c>
      <c r="B4" s="22">
        <v>8.08</v>
      </c>
      <c r="C4" s="22">
        <f aca="true" t="shared" si="0" ref="C4:C13">B4*0.1</f>
        <v>0.808</v>
      </c>
      <c r="D4" s="22">
        <v>130</v>
      </c>
      <c r="E4" s="84">
        <f aca="true" t="shared" si="1" ref="E4:E16">D4/$D$17*$E$17</f>
        <v>0.6675804093567251</v>
      </c>
      <c r="F4" s="84">
        <f aca="true" t="shared" si="2" ref="F4:F13">B4+E4+C4</f>
        <v>9.555580409356725</v>
      </c>
      <c r="G4" s="145">
        <f aca="true" t="shared" si="3" ref="G4:G13">F4*$G$1</f>
        <v>694.4135839283626</v>
      </c>
      <c r="H4" s="132">
        <f>685+9</f>
        <v>694</v>
      </c>
      <c r="I4" s="146">
        <f aca="true" t="shared" si="4" ref="I4:I13">H4-G4</f>
        <v>-0.413583928362641</v>
      </c>
    </row>
    <row r="5" spans="1:9" s="15" customFormat="1" ht="15">
      <c r="A5" s="103" t="s">
        <v>174</v>
      </c>
      <c r="B5" s="22">
        <v>9.58</v>
      </c>
      <c r="C5" s="22">
        <f t="shared" si="0"/>
        <v>0.9580000000000001</v>
      </c>
      <c r="D5" s="22">
        <v>270</v>
      </c>
      <c r="E5" s="84">
        <f t="shared" si="1"/>
        <v>1.3865131578947367</v>
      </c>
      <c r="F5" s="84">
        <f>B5+E5+C5</f>
        <v>11.924513157894737</v>
      </c>
      <c r="G5" s="145">
        <f t="shared" si="3"/>
        <v>866.5662956973684</v>
      </c>
      <c r="H5" s="132">
        <v>825</v>
      </c>
      <c r="I5" s="146">
        <f>H5-G5</f>
        <v>-41.566295697368446</v>
      </c>
    </row>
    <row r="6" spans="1:9" s="15" customFormat="1" ht="15">
      <c r="A6" s="103" t="s">
        <v>127</v>
      </c>
      <c r="B6" s="22">
        <v>15.75</v>
      </c>
      <c r="C6" s="22">
        <f t="shared" si="0"/>
        <v>1.5750000000000002</v>
      </c>
      <c r="D6" s="22">
        <v>90</v>
      </c>
      <c r="E6" s="84">
        <f t="shared" si="1"/>
        <v>0.4621710526315789</v>
      </c>
      <c r="F6" s="84">
        <f t="shared" si="2"/>
        <v>17.787171052631578</v>
      </c>
      <c r="G6" s="145">
        <f t="shared" si="3"/>
        <v>1292.6115075657895</v>
      </c>
      <c r="H6" s="132">
        <v>1265</v>
      </c>
      <c r="I6" s="146">
        <f t="shared" si="4"/>
        <v>-27.611507565789452</v>
      </c>
    </row>
    <row r="7" spans="1:9" s="8" customFormat="1" ht="15">
      <c r="A7" s="104" t="s">
        <v>1234</v>
      </c>
      <c r="B7" s="22">
        <v>5.59</v>
      </c>
      <c r="C7" s="22">
        <f t="shared" si="0"/>
        <v>0.559</v>
      </c>
      <c r="D7" s="22">
        <v>50</v>
      </c>
      <c r="E7" s="84">
        <f t="shared" si="1"/>
        <v>0.2567616959064327</v>
      </c>
      <c r="F7" s="84">
        <f t="shared" si="2"/>
        <v>6.405761695906433</v>
      </c>
      <c r="G7" s="145">
        <f t="shared" si="3"/>
        <v>465.5131082032164</v>
      </c>
      <c r="H7" s="132">
        <v>489</v>
      </c>
      <c r="I7" s="146">
        <f t="shared" si="4"/>
        <v>23.486891796783596</v>
      </c>
    </row>
    <row r="8" spans="1:9" s="15" customFormat="1" ht="15">
      <c r="A8" s="103" t="s">
        <v>580</v>
      </c>
      <c r="B8" s="22">
        <v>8.26</v>
      </c>
      <c r="C8" s="22">
        <f t="shared" si="0"/>
        <v>0.8260000000000001</v>
      </c>
      <c r="D8" s="22">
        <v>360</v>
      </c>
      <c r="E8" s="84">
        <f t="shared" si="1"/>
        <v>1.8486842105263157</v>
      </c>
      <c r="F8" s="84">
        <f t="shared" si="2"/>
        <v>10.934684210526315</v>
      </c>
      <c r="G8" s="145">
        <f t="shared" si="3"/>
        <v>794.6344362631579</v>
      </c>
      <c r="H8" s="132">
        <v>748</v>
      </c>
      <c r="I8" s="146">
        <f t="shared" si="4"/>
        <v>-46.63443626315791</v>
      </c>
    </row>
    <row r="9" spans="1:9" s="15" customFormat="1" ht="15">
      <c r="A9" s="103" t="s">
        <v>126</v>
      </c>
      <c r="B9" s="22">
        <v>6.42</v>
      </c>
      <c r="C9" s="22">
        <f t="shared" si="0"/>
        <v>0.642</v>
      </c>
      <c r="D9" s="22">
        <v>430</v>
      </c>
      <c r="E9" s="84">
        <f t="shared" si="1"/>
        <v>2.2081505847953213</v>
      </c>
      <c r="F9" s="84">
        <f t="shared" si="2"/>
        <v>9.27015058479532</v>
      </c>
      <c r="G9" s="145">
        <f t="shared" si="3"/>
        <v>673.6711131476608</v>
      </c>
      <c r="H9" s="132">
        <v>679</v>
      </c>
      <c r="I9" s="146">
        <f t="shared" si="4"/>
        <v>5.328886852339224</v>
      </c>
    </row>
    <row r="10" spans="1:9" s="15" customFormat="1" ht="15">
      <c r="A10" s="103" t="s">
        <v>1235</v>
      </c>
      <c r="B10" s="22">
        <v>5.59</v>
      </c>
      <c r="C10" s="22">
        <f t="shared" si="0"/>
        <v>0.559</v>
      </c>
      <c r="D10" s="22">
        <v>60</v>
      </c>
      <c r="E10" s="84">
        <f t="shared" si="1"/>
        <v>0.3081140350877193</v>
      </c>
      <c r="F10" s="84">
        <f t="shared" si="2"/>
        <v>6.457114035087719</v>
      </c>
      <c r="G10" s="145">
        <f t="shared" si="3"/>
        <v>469.2449340438597</v>
      </c>
      <c r="H10" s="132">
        <v>478</v>
      </c>
      <c r="I10" s="146">
        <f t="shared" si="4"/>
        <v>8.7550659561403</v>
      </c>
    </row>
    <row r="11" spans="1:9" s="15" customFormat="1" ht="15">
      <c r="A11" s="103" t="s">
        <v>967</v>
      </c>
      <c r="B11" s="22">
        <v>12.08</v>
      </c>
      <c r="C11" s="22">
        <f t="shared" si="0"/>
        <v>1.2080000000000002</v>
      </c>
      <c r="D11" s="22">
        <v>460</v>
      </c>
      <c r="E11" s="84">
        <f t="shared" si="1"/>
        <v>2.3622076023391814</v>
      </c>
      <c r="F11" s="84">
        <f t="shared" si="2"/>
        <v>15.650207602339181</v>
      </c>
      <c r="G11" s="145">
        <f t="shared" si="3"/>
        <v>1137.3162366695908</v>
      </c>
      <c r="H11" s="132">
        <f>1122+15</f>
        <v>1137</v>
      </c>
      <c r="I11" s="146">
        <f t="shared" si="4"/>
        <v>-0.31623666959080765</v>
      </c>
    </row>
    <row r="12" spans="1:9" s="8" customFormat="1" ht="15">
      <c r="A12" s="104" t="s">
        <v>1128</v>
      </c>
      <c r="B12" s="22">
        <v>57.33</v>
      </c>
      <c r="C12" s="22">
        <f t="shared" si="0"/>
        <v>5.7330000000000005</v>
      </c>
      <c r="D12" s="22">
        <v>590</v>
      </c>
      <c r="E12" s="84">
        <f t="shared" si="1"/>
        <v>3.0297880116959064</v>
      </c>
      <c r="F12" s="84">
        <f t="shared" si="2"/>
        <v>66.0927880116959</v>
      </c>
      <c r="G12" s="145">
        <f t="shared" si="3"/>
        <v>4803.028997597953</v>
      </c>
      <c r="H12" s="132">
        <f>4724+79</f>
        <v>4803</v>
      </c>
      <c r="I12" s="146">
        <f t="shared" si="4"/>
        <v>-0.028997597953093646</v>
      </c>
    </row>
    <row r="13" spans="1:9" s="15" customFormat="1" ht="15">
      <c r="A13" s="103" t="s">
        <v>630</v>
      </c>
      <c r="B13" s="22">
        <v>16.58</v>
      </c>
      <c r="C13" s="22">
        <f t="shared" si="0"/>
        <v>1.658</v>
      </c>
      <c r="D13" s="22">
        <v>1100</v>
      </c>
      <c r="E13" s="84">
        <f t="shared" si="1"/>
        <v>5.64875730994152</v>
      </c>
      <c r="F13" s="84">
        <f t="shared" si="2"/>
        <v>23.88675730994152</v>
      </c>
      <c r="G13" s="145">
        <f t="shared" si="3"/>
        <v>1735.8745404707602</v>
      </c>
      <c r="H13" s="132">
        <f>1726+9</f>
        <v>1735</v>
      </c>
      <c r="I13" s="146">
        <f t="shared" si="4"/>
        <v>-0.8745404707601665</v>
      </c>
    </row>
    <row r="14" spans="1:9" s="15" customFormat="1" ht="15">
      <c r="A14" s="103" t="s">
        <v>1060</v>
      </c>
      <c r="B14" s="22">
        <v>27.74</v>
      </c>
      <c r="C14" s="22">
        <f>B14*0.1</f>
        <v>2.774</v>
      </c>
      <c r="D14" s="22">
        <v>520</v>
      </c>
      <c r="E14" s="84">
        <f>D14/$D$17*$E$17</f>
        <v>2.6703216374269005</v>
      </c>
      <c r="F14" s="84">
        <f>B14+E14+C14</f>
        <v>33.1843216374269</v>
      </c>
      <c r="G14" s="145">
        <f>F14*$G$1</f>
        <v>2411.5378377134502</v>
      </c>
      <c r="H14" s="132">
        <v>2404</v>
      </c>
      <c r="I14" s="146">
        <f>H14-G14</f>
        <v>-7.537837713450244</v>
      </c>
    </row>
    <row r="15" spans="1:9" s="15" customFormat="1" ht="15">
      <c r="A15" s="103" t="s">
        <v>155</v>
      </c>
      <c r="B15" s="22">
        <v>8.92</v>
      </c>
      <c r="C15" s="22">
        <f>B15*0.1</f>
        <v>0.892</v>
      </c>
      <c r="D15" s="22">
        <v>220</v>
      </c>
      <c r="E15" s="84">
        <f>D15/$D$17*$E$17</f>
        <v>1.129751461988304</v>
      </c>
      <c r="F15" s="84">
        <f>B15+E15+C15</f>
        <v>10.941751461988304</v>
      </c>
      <c r="G15" s="145">
        <f>F15*$G$1</f>
        <v>795.1480204941521</v>
      </c>
      <c r="H15" s="132">
        <v>785</v>
      </c>
      <c r="I15" s="146">
        <f>H15-G15</f>
        <v>-10.148020494152092</v>
      </c>
    </row>
    <row r="16" spans="1:10" s="8" customFormat="1" ht="15">
      <c r="A16" s="103"/>
      <c r="B16" s="85"/>
      <c r="C16" s="85"/>
      <c r="D16" s="22">
        <v>9400</v>
      </c>
      <c r="E16" s="84">
        <f t="shared" si="1"/>
        <v>48.271198830409354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13680</v>
      </c>
      <c r="E17" s="1">
        <v>70.25</v>
      </c>
      <c r="F17" s="113"/>
      <c r="G17" s="28"/>
      <c r="H17" s="28"/>
      <c r="I17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 r:id="rId1"/>
</worksheet>
</file>

<file path=xl/worksheets/sheet14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  <col min="10" max="10" width="35.00390625" style="0" customWidth="1"/>
  </cols>
  <sheetData>
    <row r="1" spans="1:10" s="8" customFormat="1" ht="21">
      <c r="A1" s="9" t="s">
        <v>205</v>
      </c>
      <c r="B1" s="10">
        <v>42958</v>
      </c>
      <c r="C1" s="10"/>
      <c r="D1" s="10"/>
      <c r="E1" s="10"/>
      <c r="F1" s="11" t="s">
        <v>206</v>
      </c>
      <c r="G1" s="106">
        <v>72.715</v>
      </c>
      <c r="H1" s="8" t="s">
        <v>207</v>
      </c>
      <c r="J1" s="154"/>
    </row>
    <row r="2" s="8" customFormat="1" ht="15">
      <c r="A2" s="33" t="s">
        <v>1241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1215</v>
      </c>
      <c r="B4" s="22">
        <v>8.25</v>
      </c>
      <c r="C4" s="22">
        <f aca="true" t="shared" si="0" ref="C4:C12">B4*0.1</f>
        <v>0.8250000000000001</v>
      </c>
      <c r="D4" s="108">
        <v>240</v>
      </c>
      <c r="E4" s="84">
        <f aca="true" t="shared" si="1" ref="E4:E19">D4/$D$20*$E$20</f>
        <v>1.2447859495060374</v>
      </c>
      <c r="F4" s="84">
        <f aca="true" t="shared" si="2" ref="F4:F12">B4+E4+C4</f>
        <v>10.319785949506036</v>
      </c>
      <c r="G4" s="145">
        <f aca="true" t="shared" si="3" ref="G4:G12">F4*$G$1</f>
        <v>750.4032353183314</v>
      </c>
      <c r="H4" s="132">
        <v>756</v>
      </c>
      <c r="I4" s="146">
        <f aca="true" t="shared" si="4" ref="I4:I12">H4-G4</f>
        <v>5.59676468166856</v>
      </c>
    </row>
    <row r="5" spans="1:9" s="15" customFormat="1" ht="15">
      <c r="A5" s="103" t="s">
        <v>495</v>
      </c>
      <c r="B5" s="22">
        <v>8.25</v>
      </c>
      <c r="C5" s="22">
        <f t="shared" si="0"/>
        <v>0.8250000000000001</v>
      </c>
      <c r="D5" s="108">
        <v>110</v>
      </c>
      <c r="E5" s="84">
        <f t="shared" si="1"/>
        <v>0.5705268935236004</v>
      </c>
      <c r="F5" s="84">
        <f>B5+E5+C5</f>
        <v>9.6455268935236</v>
      </c>
      <c r="G5" s="145">
        <f t="shared" si="3"/>
        <v>701.3744880625686</v>
      </c>
      <c r="H5" s="132">
        <v>699</v>
      </c>
      <c r="I5" s="146">
        <f>H5-G5</f>
        <v>-2.3744880625686164</v>
      </c>
    </row>
    <row r="6" spans="1:9" s="15" customFormat="1" ht="15">
      <c r="A6" s="103" t="s">
        <v>1234</v>
      </c>
      <c r="B6" s="22">
        <v>9.08</v>
      </c>
      <c r="C6" s="22">
        <f t="shared" si="0"/>
        <v>0.908</v>
      </c>
      <c r="D6" s="108">
        <v>240</v>
      </c>
      <c r="E6" s="84">
        <f t="shared" si="1"/>
        <v>1.2447859495060374</v>
      </c>
      <c r="F6" s="84">
        <f t="shared" si="2"/>
        <v>11.232785949506036</v>
      </c>
      <c r="G6" s="145">
        <f t="shared" si="3"/>
        <v>816.7920303183315</v>
      </c>
      <c r="H6" s="132">
        <v>794</v>
      </c>
      <c r="I6" s="146">
        <f t="shared" si="4"/>
        <v>-22.792030318331513</v>
      </c>
    </row>
    <row r="7" spans="1:9" s="8" customFormat="1" ht="15">
      <c r="A7" s="104" t="s">
        <v>127</v>
      </c>
      <c r="B7" s="108">
        <v>3.67</v>
      </c>
      <c r="C7" s="22">
        <f t="shared" si="0"/>
        <v>0.367</v>
      </c>
      <c r="D7" s="22">
        <v>80</v>
      </c>
      <c r="E7" s="84">
        <f t="shared" si="1"/>
        <v>0.4149286498353458</v>
      </c>
      <c r="F7" s="84">
        <f t="shared" si="2"/>
        <v>4.451928649835346</v>
      </c>
      <c r="G7" s="145">
        <f t="shared" si="3"/>
        <v>323.7219917727772</v>
      </c>
      <c r="H7" s="132">
        <v>353</v>
      </c>
      <c r="I7" s="146">
        <f t="shared" si="4"/>
        <v>29.278008227222813</v>
      </c>
    </row>
    <row r="8" spans="1:9" s="15" customFormat="1" ht="15">
      <c r="A8" s="103" t="s">
        <v>1242</v>
      </c>
      <c r="B8" s="22">
        <v>7.42</v>
      </c>
      <c r="C8" s="22">
        <f t="shared" si="0"/>
        <v>0.742</v>
      </c>
      <c r="D8" s="22">
        <v>60</v>
      </c>
      <c r="E8" s="84">
        <f t="shared" si="1"/>
        <v>0.31119648737650935</v>
      </c>
      <c r="F8" s="84">
        <f t="shared" si="2"/>
        <v>8.473196487376509</v>
      </c>
      <c r="G8" s="145">
        <f t="shared" si="3"/>
        <v>616.1284825795829</v>
      </c>
      <c r="H8" s="132">
        <v>616</v>
      </c>
      <c r="I8" s="146">
        <f t="shared" si="4"/>
        <v>-0.12848257958285103</v>
      </c>
    </row>
    <row r="9" spans="1:9" s="15" customFormat="1" ht="15">
      <c r="A9" s="103" t="s">
        <v>630</v>
      </c>
      <c r="B9" s="22">
        <v>39.86</v>
      </c>
      <c r="C9" s="22">
        <f t="shared" si="0"/>
        <v>3.986</v>
      </c>
      <c r="D9" s="22">
        <v>640</v>
      </c>
      <c r="E9" s="84">
        <f t="shared" si="1"/>
        <v>3.319429198682766</v>
      </c>
      <c r="F9" s="84">
        <f t="shared" si="2"/>
        <v>47.165429198682766</v>
      </c>
      <c r="G9" s="145">
        <f t="shared" si="3"/>
        <v>3429.6341841822173</v>
      </c>
      <c r="H9" s="119">
        <f>3250+180</f>
        <v>3430</v>
      </c>
      <c r="I9" s="146">
        <f t="shared" si="4"/>
        <v>0.36581581778273176</v>
      </c>
    </row>
    <row r="10" spans="1:9" s="15" customFormat="1" ht="15">
      <c r="A10" s="103" t="s">
        <v>899</v>
      </c>
      <c r="B10" s="22">
        <v>9.16</v>
      </c>
      <c r="C10" s="22">
        <f t="shared" si="0"/>
        <v>0.916</v>
      </c>
      <c r="D10" s="22">
        <v>330</v>
      </c>
      <c r="E10" s="84">
        <f t="shared" si="1"/>
        <v>1.7115806805708014</v>
      </c>
      <c r="F10" s="84">
        <f t="shared" si="2"/>
        <v>11.787580680570802</v>
      </c>
      <c r="G10" s="145">
        <f t="shared" si="3"/>
        <v>857.1339291877059</v>
      </c>
      <c r="H10" s="132">
        <v>878</v>
      </c>
      <c r="I10" s="146">
        <f t="shared" si="4"/>
        <v>20.866070812294083</v>
      </c>
    </row>
    <row r="11" spans="1:9" s="8" customFormat="1" ht="15">
      <c r="A11" s="104" t="s">
        <v>178</v>
      </c>
      <c r="B11" s="22">
        <v>9.58</v>
      </c>
      <c r="C11" s="22">
        <f t="shared" si="0"/>
        <v>0.9580000000000001</v>
      </c>
      <c r="D11" s="22">
        <v>190</v>
      </c>
      <c r="E11" s="84">
        <f t="shared" si="1"/>
        <v>0.9854555433589463</v>
      </c>
      <c r="F11" s="84">
        <f t="shared" si="2"/>
        <v>11.523455543358947</v>
      </c>
      <c r="G11" s="145">
        <f t="shared" si="3"/>
        <v>837.9280698353459</v>
      </c>
      <c r="H11" s="132">
        <v>837</v>
      </c>
      <c r="I11" s="146">
        <f t="shared" si="4"/>
        <v>-0.9280698353459229</v>
      </c>
    </row>
    <row r="12" spans="1:9" s="15" customFormat="1" ht="15">
      <c r="A12" s="103" t="s">
        <v>930</v>
      </c>
      <c r="B12" s="22">
        <v>8.33</v>
      </c>
      <c r="C12" s="22">
        <f t="shared" si="0"/>
        <v>0.8330000000000001</v>
      </c>
      <c r="D12" s="22">
        <v>50</v>
      </c>
      <c r="E12" s="84">
        <f t="shared" si="1"/>
        <v>0.25933040614709113</v>
      </c>
      <c r="F12" s="84">
        <f t="shared" si="2"/>
        <v>9.422330406147092</v>
      </c>
      <c r="G12" s="145">
        <f t="shared" si="3"/>
        <v>685.1447554829858</v>
      </c>
      <c r="H12" s="132">
        <v>685</v>
      </c>
      <c r="I12" s="146">
        <f t="shared" si="4"/>
        <v>-0.14475548298582908</v>
      </c>
    </row>
    <row r="13" spans="1:9" s="15" customFormat="1" ht="15">
      <c r="A13" s="103" t="s">
        <v>937</v>
      </c>
      <c r="B13" s="108">
        <v>10.75</v>
      </c>
      <c r="C13" s="22">
        <f aca="true" t="shared" si="5" ref="C13:C18">B13*0.1</f>
        <v>1.075</v>
      </c>
      <c r="D13" s="22">
        <v>75</v>
      </c>
      <c r="E13" s="84">
        <f t="shared" si="1"/>
        <v>0.38899560922063664</v>
      </c>
      <c r="F13" s="84">
        <f aca="true" t="shared" si="6" ref="F13:F18">B13+E13+C13</f>
        <v>12.213995609220635</v>
      </c>
      <c r="G13" s="145">
        <f aca="true" t="shared" si="7" ref="G13:G18">F13*$G$1</f>
        <v>888.1406907244785</v>
      </c>
      <c r="H13" s="132">
        <f>886+12</f>
        <v>898</v>
      </c>
      <c r="I13" s="146">
        <f aca="true" t="shared" si="8" ref="I13:I18">H13-G13</f>
        <v>9.859309275521468</v>
      </c>
    </row>
    <row r="14" spans="1:10" s="15" customFormat="1" ht="15">
      <c r="A14" s="103" t="s">
        <v>24</v>
      </c>
      <c r="B14" s="22">
        <v>37.83</v>
      </c>
      <c r="C14" s="22">
        <f t="shared" si="5"/>
        <v>3.783</v>
      </c>
      <c r="D14" s="22">
        <v>560</v>
      </c>
      <c r="E14" s="84">
        <f t="shared" si="1"/>
        <v>2.9045005488474205</v>
      </c>
      <c r="F14" s="84">
        <f t="shared" si="6"/>
        <v>44.51750054884742</v>
      </c>
      <c r="G14" s="145">
        <f t="shared" si="7"/>
        <v>3237.0900524094404</v>
      </c>
      <c r="H14" s="132">
        <f>3343-110</f>
        <v>3233</v>
      </c>
      <c r="I14" s="146">
        <f t="shared" si="8"/>
        <v>-4.090052409440432</v>
      </c>
      <c r="J14" s="206" t="s">
        <v>1269</v>
      </c>
    </row>
    <row r="15" spans="1:9" s="15" customFormat="1" ht="15">
      <c r="A15" s="103" t="s">
        <v>1243</v>
      </c>
      <c r="B15" s="22">
        <v>31.08</v>
      </c>
      <c r="C15" s="22">
        <f t="shared" si="5"/>
        <v>3.108</v>
      </c>
      <c r="D15" s="22">
        <v>470</v>
      </c>
      <c r="E15" s="84">
        <f t="shared" si="1"/>
        <v>2.4377058177826565</v>
      </c>
      <c r="F15" s="84">
        <f t="shared" si="6"/>
        <v>36.62570581778265</v>
      </c>
      <c r="G15" s="145">
        <f t="shared" si="7"/>
        <v>2663.2381985400657</v>
      </c>
      <c r="H15" s="119">
        <f>2650+13</f>
        <v>2663</v>
      </c>
      <c r="I15" s="146">
        <f t="shared" si="8"/>
        <v>-0.23819854006569585</v>
      </c>
    </row>
    <row r="16" spans="1:9" s="15" customFormat="1" ht="15">
      <c r="A16" s="103" t="s">
        <v>1074</v>
      </c>
      <c r="B16" s="22">
        <v>63.08</v>
      </c>
      <c r="C16" s="22">
        <f t="shared" si="5"/>
        <v>6.308</v>
      </c>
      <c r="D16" s="22">
        <v>275</v>
      </c>
      <c r="E16" s="84">
        <f t="shared" si="1"/>
        <v>1.426317233809001</v>
      </c>
      <c r="F16" s="84">
        <f t="shared" si="6"/>
        <v>70.81431723380899</v>
      </c>
      <c r="G16" s="145">
        <f t="shared" si="7"/>
        <v>5149.263077656421</v>
      </c>
      <c r="H16" s="119">
        <f>5105+44</f>
        <v>5149</v>
      </c>
      <c r="I16" s="146">
        <f t="shared" si="8"/>
        <v>-0.2630776564210464</v>
      </c>
    </row>
    <row r="17" spans="1:9" s="15" customFormat="1" ht="15">
      <c r="A17" s="103" t="s">
        <v>1127</v>
      </c>
      <c r="B17" s="22">
        <v>21.42</v>
      </c>
      <c r="C17" s="22">
        <f t="shared" si="5"/>
        <v>2.1420000000000003</v>
      </c>
      <c r="D17" s="22">
        <v>420</v>
      </c>
      <c r="E17" s="84">
        <f t="shared" si="1"/>
        <v>2.178375411635565</v>
      </c>
      <c r="F17" s="84">
        <f t="shared" si="6"/>
        <v>25.740375411635565</v>
      </c>
      <c r="G17" s="145">
        <f t="shared" si="7"/>
        <v>1871.7113980570803</v>
      </c>
      <c r="H17" s="119">
        <f>1840+50</f>
        <v>1890</v>
      </c>
      <c r="I17" s="146">
        <f t="shared" si="8"/>
        <v>18.28860194291974</v>
      </c>
    </row>
    <row r="18" spans="1:9" s="15" customFormat="1" ht="15">
      <c r="A18" s="103" t="s">
        <v>1244</v>
      </c>
      <c r="B18" s="22">
        <v>20.26</v>
      </c>
      <c r="C18" s="22">
        <f t="shared" si="5"/>
        <v>2.0260000000000002</v>
      </c>
      <c r="D18" s="22">
        <v>1260</v>
      </c>
      <c r="E18" s="84">
        <f t="shared" si="1"/>
        <v>6.535126234906697</v>
      </c>
      <c r="F18" s="84">
        <f t="shared" si="6"/>
        <v>28.821126234906696</v>
      </c>
      <c r="G18" s="145">
        <f t="shared" si="7"/>
        <v>2095.7281941712404</v>
      </c>
      <c r="H18" s="132">
        <f>500+1603</f>
        <v>2103</v>
      </c>
      <c r="I18" s="146">
        <f t="shared" si="8"/>
        <v>7.271805828759625</v>
      </c>
    </row>
    <row r="19" spans="1:10" s="8" customFormat="1" ht="15">
      <c r="A19" s="103" t="s">
        <v>224</v>
      </c>
      <c r="B19" s="85"/>
      <c r="C19" s="85"/>
      <c r="D19" s="22">
        <v>4110</v>
      </c>
      <c r="E19" s="84">
        <f t="shared" si="1"/>
        <v>21.31695938529089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9110</v>
      </c>
      <c r="E20" s="1">
        <v>47.25</v>
      </c>
      <c r="F20" s="113"/>
      <c r="G20" s="28"/>
      <c r="H20" s="28"/>
      <c r="I20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8" customFormat="1" ht="21.75" customHeight="1">
      <c r="A1" s="9" t="s">
        <v>205</v>
      </c>
      <c r="B1" s="10">
        <v>41375</v>
      </c>
      <c r="C1" s="10"/>
      <c r="D1" s="11" t="s">
        <v>206</v>
      </c>
      <c r="E1" s="12">
        <v>41.22</v>
      </c>
      <c r="G1" s="8" t="s">
        <v>207</v>
      </c>
    </row>
    <row r="2" s="8" customFormat="1" ht="23.25" customHeight="1">
      <c r="A2" s="33" t="s">
        <v>248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61</v>
      </c>
      <c r="B4" s="16">
        <f>50.57+73.5</f>
        <v>124.07</v>
      </c>
      <c r="C4" s="16">
        <f aca="true" t="shared" si="0" ref="C4:C13">B4*0.95</f>
        <v>117.86649999999999</v>
      </c>
      <c r="D4" s="16">
        <f>B4/$B$15*$D$15</f>
        <v>6.718140835138265</v>
      </c>
      <c r="E4" s="17">
        <f>(C4+D4)*$E$1</f>
        <v>5135.378895224399</v>
      </c>
      <c r="F4" s="18"/>
      <c r="G4" s="19">
        <f>E4-F4</f>
        <v>5135.378895224399</v>
      </c>
      <c r="H4" s="22">
        <v>5165</v>
      </c>
      <c r="I4" s="21">
        <f>H4-G4+F4</f>
        <v>29.621104775601452</v>
      </c>
    </row>
    <row r="5" spans="1:9" s="8" customFormat="1" ht="15">
      <c r="A5" s="4" t="s">
        <v>51</v>
      </c>
      <c r="B5" s="16">
        <v>6.07</v>
      </c>
      <c r="C5" s="16">
        <f>B5*0.95</f>
        <v>5.7665</v>
      </c>
      <c r="D5" s="16">
        <f aca="true" t="shared" si="1" ref="D5:D14">B5/$B$15*$D$15</f>
        <v>0.3286782853976729</v>
      </c>
      <c r="E5" s="17">
        <f>(C5+D5)*$E$1</f>
        <v>251.24324892409206</v>
      </c>
      <c r="F5" s="18"/>
      <c r="G5" s="19">
        <f>E5-F5</f>
        <v>251.24324892409206</v>
      </c>
      <c r="H5" s="22">
        <v>242</v>
      </c>
      <c r="I5" s="21">
        <f>H5-G5+F5</f>
        <v>-9.243248924092057</v>
      </c>
    </row>
    <row r="6" spans="1:9" s="8" customFormat="1" ht="15">
      <c r="A6" s="4" t="s">
        <v>82</v>
      </c>
      <c r="B6" s="16">
        <v>6.07</v>
      </c>
      <c r="C6" s="16">
        <f>B6*0.95</f>
        <v>5.7665</v>
      </c>
      <c r="D6" s="16">
        <f t="shared" si="1"/>
        <v>0.3286782853976729</v>
      </c>
      <c r="E6" s="17">
        <f>(C6+D6)*$E$1</f>
        <v>251.24324892409206</v>
      </c>
      <c r="F6" s="18"/>
      <c r="G6" s="19">
        <f>E6-F6</f>
        <v>251.24324892409206</v>
      </c>
      <c r="H6" s="22">
        <v>255</v>
      </c>
      <c r="I6" s="21">
        <f>H6-G6+F6</f>
        <v>3.7567510759079425</v>
      </c>
    </row>
    <row r="7" spans="1:9" s="8" customFormat="1" ht="15">
      <c r="A7" s="4" t="s">
        <v>245</v>
      </c>
      <c r="B7" s="16">
        <v>54.5</v>
      </c>
      <c r="C7" s="16">
        <f t="shared" si="0"/>
        <v>51.775</v>
      </c>
      <c r="D7" s="16">
        <f t="shared" si="1"/>
        <v>2.9510653301767995</v>
      </c>
      <c r="E7" s="17">
        <f aca="true" t="shared" si="2" ref="E7:E13">(C7+D7)*$E$1</f>
        <v>2255.8084129098875</v>
      </c>
      <c r="F7" s="18"/>
      <c r="G7" s="19">
        <f aca="true" t="shared" si="3" ref="G7:G13">E7-F7</f>
        <v>2255.8084129098875</v>
      </c>
      <c r="H7" s="22">
        <v>2266</v>
      </c>
      <c r="I7" s="21">
        <f aca="true" t="shared" si="4" ref="I7:I13">H7-G7+F7</f>
        <v>10.191587090112534</v>
      </c>
    </row>
    <row r="8" spans="1:9" s="8" customFormat="1" ht="15">
      <c r="A8" s="4" t="s">
        <v>202</v>
      </c>
      <c r="B8" s="16">
        <v>37</v>
      </c>
      <c r="C8" s="16">
        <f t="shared" si="0"/>
        <v>35.15</v>
      </c>
      <c r="D8" s="16">
        <f t="shared" si="1"/>
        <v>2.003475545257644</v>
      </c>
      <c r="E8" s="17">
        <f t="shared" si="2"/>
        <v>1531.46626197552</v>
      </c>
      <c r="F8" s="18"/>
      <c r="G8" s="19">
        <f t="shared" si="3"/>
        <v>1531.46626197552</v>
      </c>
      <c r="H8" s="22">
        <v>1538</v>
      </c>
      <c r="I8" s="21">
        <f t="shared" si="4"/>
        <v>6.533738024480044</v>
      </c>
    </row>
    <row r="9" spans="1:9" s="8" customFormat="1" ht="15">
      <c r="A9" s="4" t="s">
        <v>179</v>
      </c>
      <c r="B9" s="16">
        <v>36.1</v>
      </c>
      <c r="C9" s="16">
        <f t="shared" si="0"/>
        <v>34.295</v>
      </c>
      <c r="D9" s="16">
        <f t="shared" si="1"/>
        <v>1.954742356318944</v>
      </c>
      <c r="E9" s="17">
        <f t="shared" si="2"/>
        <v>1494.214379927467</v>
      </c>
      <c r="F9" s="18"/>
      <c r="G9" s="19">
        <f t="shared" si="3"/>
        <v>1494.214379927467</v>
      </c>
      <c r="H9" s="22">
        <f>43</f>
        <v>43</v>
      </c>
      <c r="I9" s="21">
        <f t="shared" si="4"/>
        <v>-1451.214379927467</v>
      </c>
    </row>
    <row r="10" spans="1:9" s="8" customFormat="1" ht="15">
      <c r="A10" s="4" t="s">
        <v>64</v>
      </c>
      <c r="B10" s="16">
        <v>29.95</v>
      </c>
      <c r="C10" s="16">
        <f t="shared" si="0"/>
        <v>28.452499999999997</v>
      </c>
      <c r="D10" s="16">
        <f t="shared" si="1"/>
        <v>1.621732231904498</v>
      </c>
      <c r="E10" s="17">
        <f t="shared" si="2"/>
        <v>1239.6598525991033</v>
      </c>
      <c r="F10" s="18"/>
      <c r="G10" s="19">
        <f t="shared" si="3"/>
        <v>1239.6598525991033</v>
      </c>
      <c r="H10" s="22">
        <v>1245</v>
      </c>
      <c r="I10" s="21">
        <f t="shared" si="4"/>
        <v>5.34014740089674</v>
      </c>
    </row>
    <row r="11" spans="1:10" s="8" customFormat="1" ht="15">
      <c r="A11" s="4" t="s">
        <v>41</v>
      </c>
      <c r="B11" s="16">
        <v>55.8</v>
      </c>
      <c r="C11" s="16">
        <f t="shared" si="0"/>
        <v>53.01</v>
      </c>
      <c r="D11" s="16">
        <f t="shared" si="1"/>
        <v>3.0214577141993653</v>
      </c>
      <c r="E11" s="17">
        <f t="shared" si="2"/>
        <v>2309.616686979298</v>
      </c>
      <c r="F11" s="18"/>
      <c r="G11" s="19">
        <f t="shared" si="3"/>
        <v>2309.616686979298</v>
      </c>
      <c r="H11" s="22">
        <f>2320-10</f>
        <v>2310</v>
      </c>
      <c r="I11" s="21">
        <f t="shared" si="4"/>
        <v>0.38331302070218953</v>
      </c>
      <c r="J11" s="45" t="s">
        <v>249</v>
      </c>
    </row>
    <row r="12" spans="1:9" s="8" customFormat="1" ht="15">
      <c r="A12" s="4" t="s">
        <v>250</v>
      </c>
      <c r="B12" s="16">
        <v>6.5</v>
      </c>
      <c r="C12" s="16">
        <f t="shared" si="0"/>
        <v>6.175</v>
      </c>
      <c r="D12" s="16">
        <f t="shared" si="1"/>
        <v>0.3519619201128293</v>
      </c>
      <c r="E12" s="17">
        <f t="shared" si="2"/>
        <v>269.0413703470508</v>
      </c>
      <c r="F12" s="18"/>
      <c r="G12" s="19">
        <f t="shared" si="3"/>
        <v>269.0413703470508</v>
      </c>
      <c r="H12" s="22">
        <v>270</v>
      </c>
      <c r="I12" s="21">
        <f t="shared" si="4"/>
        <v>0.9586296529491847</v>
      </c>
    </row>
    <row r="13" spans="1:9" s="8" customFormat="1" ht="15">
      <c r="A13" s="4" t="s">
        <v>251</v>
      </c>
      <c r="B13" s="16">
        <v>12.9</v>
      </c>
      <c r="C13" s="16">
        <f t="shared" si="0"/>
        <v>12.254999999999999</v>
      </c>
      <c r="D13" s="16">
        <f t="shared" si="1"/>
        <v>0.6985090414546921</v>
      </c>
      <c r="E13" s="17">
        <f t="shared" si="2"/>
        <v>533.9436426887623</v>
      </c>
      <c r="F13" s="18"/>
      <c r="G13" s="19">
        <f t="shared" si="3"/>
        <v>533.9436426887623</v>
      </c>
      <c r="H13" s="22">
        <v>536</v>
      </c>
      <c r="I13" s="21">
        <f t="shared" si="4"/>
        <v>2.0563573112376616</v>
      </c>
    </row>
    <row r="14" spans="1:9" s="8" customFormat="1" ht="15">
      <c r="A14" s="8" t="s">
        <v>224</v>
      </c>
      <c r="B14" s="16">
        <v>28.1</v>
      </c>
      <c r="C14" s="16">
        <f>B14*0.95</f>
        <v>26.695</v>
      </c>
      <c r="D14" s="16">
        <f t="shared" si="1"/>
        <v>1.5215584546416159</v>
      </c>
      <c r="E14" s="27"/>
      <c r="F14" s="28"/>
      <c r="G14" s="28"/>
      <c r="H14" s="28"/>
      <c r="I14" s="28"/>
    </row>
    <row r="15" spans="1:9" s="8" customFormat="1" ht="15">
      <c r="A15" s="25"/>
      <c r="B15" s="26">
        <f>SUM(B4:B14)</f>
        <v>397.06</v>
      </c>
      <c r="C15" s="26">
        <f>SUM(C4:C14)</f>
        <v>377.207</v>
      </c>
      <c r="D15" s="26">
        <v>21.5</v>
      </c>
      <c r="E15" s="27"/>
      <c r="F15" s="28"/>
      <c r="G15" s="28"/>
      <c r="H15" s="28"/>
      <c r="I15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70" zoomScaleNormal="70" zoomScalePageLayoutView="0" workbookViewId="0" topLeftCell="A1">
      <selection activeCell="H5" sqref="H5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205</v>
      </c>
      <c r="B1" s="10" t="s">
        <v>1255</v>
      </c>
      <c r="C1" s="10"/>
      <c r="D1" s="10"/>
      <c r="E1" s="10"/>
      <c r="F1" s="11" t="s">
        <v>206</v>
      </c>
      <c r="G1" s="106">
        <v>71.583</v>
      </c>
      <c r="H1" s="8" t="s">
        <v>207</v>
      </c>
      <c r="J1" s="154"/>
    </row>
    <row r="2" s="8" customFormat="1" ht="15">
      <c r="A2" s="33" t="s">
        <v>1256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1164</v>
      </c>
      <c r="B4" s="22">
        <v>9.08</v>
      </c>
      <c r="C4" s="22">
        <f aca="true" t="shared" si="0" ref="C4:C17">B4*0.1</f>
        <v>0.908</v>
      </c>
      <c r="D4" s="108">
        <v>480</v>
      </c>
      <c r="E4" s="84">
        <f aca="true" t="shared" si="1" ref="E4:E18">D4/$D$19*$E$19</f>
        <v>2.5061315496098104</v>
      </c>
      <c r="F4" s="84">
        <f aca="true" t="shared" si="2" ref="F4:F17">B4+E4+C4</f>
        <v>12.49413154960981</v>
      </c>
      <c r="G4" s="145">
        <f aca="true" t="shared" si="3" ref="G4:G17">F4*$G$1</f>
        <v>894.3674187157189</v>
      </c>
      <c r="H4" s="119">
        <f>891+3</f>
        <v>894</v>
      </c>
      <c r="I4" s="146">
        <f aca="true" t="shared" si="4" ref="I4:I17">H4-G4</f>
        <v>-0.3674187157189408</v>
      </c>
    </row>
    <row r="5" spans="1:9" s="15" customFormat="1" ht="15">
      <c r="A5" s="103" t="s">
        <v>418</v>
      </c>
      <c r="B5" s="22">
        <v>10.42</v>
      </c>
      <c r="C5" s="22">
        <f t="shared" si="0"/>
        <v>1.042</v>
      </c>
      <c r="D5" s="108">
        <v>555</v>
      </c>
      <c r="E5" s="84">
        <f t="shared" si="1"/>
        <v>2.8977146042363433</v>
      </c>
      <c r="F5" s="84">
        <f>B5+E5+C5</f>
        <v>14.359714604236343</v>
      </c>
      <c r="G5" s="145">
        <f t="shared" si="3"/>
        <v>1027.91145051505</v>
      </c>
      <c r="H5" s="119">
        <v>1020</v>
      </c>
      <c r="I5" s="146">
        <f>H5-G5</f>
        <v>-7.911450515050092</v>
      </c>
    </row>
    <row r="6" spans="1:9" s="15" customFormat="1" ht="15">
      <c r="A6" s="103" t="s">
        <v>508</v>
      </c>
      <c r="B6" s="22">
        <v>12.08</v>
      </c>
      <c r="C6" s="22">
        <f t="shared" si="0"/>
        <v>1.2080000000000002</v>
      </c>
      <c r="D6" s="108">
        <v>85</v>
      </c>
      <c r="E6" s="84">
        <f t="shared" si="1"/>
        <v>0.4437941285767373</v>
      </c>
      <c r="F6" s="84">
        <f t="shared" si="2"/>
        <v>13.731794128576738</v>
      </c>
      <c r="G6" s="145">
        <f t="shared" si="3"/>
        <v>982.9630191059085</v>
      </c>
      <c r="H6" s="132">
        <v>982</v>
      </c>
      <c r="I6" s="146">
        <f t="shared" si="4"/>
        <v>-0.9630191059085291</v>
      </c>
    </row>
    <row r="7" spans="1:9" s="8" customFormat="1" ht="15">
      <c r="A7" s="104" t="s">
        <v>694</v>
      </c>
      <c r="B7" s="108">
        <v>9.58</v>
      </c>
      <c r="C7" s="22">
        <f t="shared" si="0"/>
        <v>0.9580000000000001</v>
      </c>
      <c r="D7" s="22">
        <v>65</v>
      </c>
      <c r="E7" s="84">
        <f t="shared" si="1"/>
        <v>0.3393719806763285</v>
      </c>
      <c r="F7" s="84">
        <f t="shared" si="2"/>
        <v>10.87737198067633</v>
      </c>
      <c r="G7" s="145">
        <f t="shared" si="3"/>
        <v>778.6349184927537</v>
      </c>
      <c r="H7" s="119">
        <v>782</v>
      </c>
      <c r="I7" s="146">
        <f t="shared" si="4"/>
        <v>3.365081507246259</v>
      </c>
    </row>
    <row r="8" spans="1:9" s="15" customFormat="1" ht="15">
      <c r="A8" s="103" t="s">
        <v>789</v>
      </c>
      <c r="B8" s="22">
        <v>11.58</v>
      </c>
      <c r="C8" s="22">
        <f t="shared" si="0"/>
        <v>1.1580000000000001</v>
      </c>
      <c r="D8" s="22">
        <v>485</v>
      </c>
      <c r="E8" s="84">
        <f t="shared" si="1"/>
        <v>2.5322370865849124</v>
      </c>
      <c r="F8" s="84">
        <f t="shared" si="2"/>
        <v>15.270237086584912</v>
      </c>
      <c r="G8" s="145">
        <f t="shared" si="3"/>
        <v>1093.0893813690077</v>
      </c>
      <c r="H8" s="119">
        <f>1085+8</f>
        <v>1093</v>
      </c>
      <c r="I8" s="146">
        <f t="shared" si="4"/>
        <v>-0.08938136900769678</v>
      </c>
    </row>
    <row r="9" spans="1:9" s="15" customFormat="1" ht="15">
      <c r="A9" s="103" t="s">
        <v>607</v>
      </c>
      <c r="B9" s="22">
        <v>8.25</v>
      </c>
      <c r="C9" s="22">
        <f t="shared" si="0"/>
        <v>0.8250000000000001</v>
      </c>
      <c r="D9" s="22">
        <v>350</v>
      </c>
      <c r="E9" s="84">
        <f t="shared" si="1"/>
        <v>1.8273875882571535</v>
      </c>
      <c r="F9" s="84">
        <f t="shared" si="2"/>
        <v>10.902387588257152</v>
      </c>
      <c r="G9" s="145">
        <f t="shared" si="3"/>
        <v>780.4256107302117</v>
      </c>
      <c r="H9" s="119">
        <v>800</v>
      </c>
      <c r="I9" s="146">
        <f t="shared" si="4"/>
        <v>19.5743892697883</v>
      </c>
    </row>
    <row r="10" spans="1:9" s="15" customFormat="1" ht="15">
      <c r="A10" s="103" t="s">
        <v>1228</v>
      </c>
      <c r="B10" s="22">
        <v>8.25</v>
      </c>
      <c r="C10" s="22">
        <f t="shared" si="0"/>
        <v>0.8250000000000001</v>
      </c>
      <c r="D10" s="22">
        <v>350</v>
      </c>
      <c r="E10" s="84">
        <f t="shared" si="1"/>
        <v>1.8273875882571535</v>
      </c>
      <c r="F10" s="84">
        <f t="shared" si="2"/>
        <v>10.902387588257152</v>
      </c>
      <c r="G10" s="145">
        <f t="shared" si="3"/>
        <v>780.4256107302117</v>
      </c>
      <c r="H10" s="132">
        <v>787</v>
      </c>
      <c r="I10" s="146">
        <f t="shared" si="4"/>
        <v>6.574389269788298</v>
      </c>
    </row>
    <row r="11" spans="1:9" s="8" customFormat="1" ht="15">
      <c r="A11" s="104" t="s">
        <v>1257</v>
      </c>
      <c r="B11" s="22">
        <v>8.25</v>
      </c>
      <c r="C11" s="22">
        <f t="shared" si="0"/>
        <v>0.8250000000000001</v>
      </c>
      <c r="D11" s="22">
        <v>85</v>
      </c>
      <c r="E11" s="84">
        <f t="shared" si="1"/>
        <v>0.4437941285767373</v>
      </c>
      <c r="F11" s="84">
        <f t="shared" si="2"/>
        <v>9.518794128576737</v>
      </c>
      <c r="G11" s="145">
        <f t="shared" si="3"/>
        <v>681.3838401059086</v>
      </c>
      <c r="H11" s="132">
        <v>679</v>
      </c>
      <c r="I11" s="146">
        <f t="shared" si="4"/>
        <v>-2.3838401059085754</v>
      </c>
    </row>
    <row r="12" spans="1:9" s="15" customFormat="1" ht="15">
      <c r="A12" s="103" t="s">
        <v>134</v>
      </c>
      <c r="B12" s="22">
        <v>24.6</v>
      </c>
      <c r="C12" s="22">
        <f t="shared" si="0"/>
        <v>2.4600000000000004</v>
      </c>
      <c r="D12" s="22">
        <v>140</v>
      </c>
      <c r="E12" s="84">
        <f t="shared" si="1"/>
        <v>0.7309550353028613</v>
      </c>
      <c r="F12" s="84">
        <f t="shared" si="2"/>
        <v>27.790955035302865</v>
      </c>
      <c r="G12" s="145">
        <f t="shared" si="3"/>
        <v>1989.359934292085</v>
      </c>
      <c r="H12" s="132">
        <f>1960+20</f>
        <v>1980</v>
      </c>
      <c r="I12" s="146">
        <f t="shared" si="4"/>
        <v>-9.359934292084972</v>
      </c>
    </row>
    <row r="13" spans="1:9" s="15" customFormat="1" ht="15">
      <c r="A13" s="103" t="s">
        <v>1258</v>
      </c>
      <c r="B13" s="108">
        <v>5.93</v>
      </c>
      <c r="C13" s="22">
        <f t="shared" si="0"/>
        <v>0.593</v>
      </c>
      <c r="D13" s="22">
        <v>210</v>
      </c>
      <c r="E13" s="84">
        <f t="shared" si="1"/>
        <v>1.0964325529542922</v>
      </c>
      <c r="F13" s="84">
        <f t="shared" si="2"/>
        <v>7.619432552954292</v>
      </c>
      <c r="G13" s="145">
        <f t="shared" si="3"/>
        <v>545.4218404381271</v>
      </c>
      <c r="H13" s="132">
        <v>549</v>
      </c>
      <c r="I13" s="146">
        <f t="shared" si="4"/>
        <v>3.5781595618728943</v>
      </c>
    </row>
    <row r="14" spans="1:9" s="15" customFormat="1" ht="15">
      <c r="A14" s="103" t="s">
        <v>1259</v>
      </c>
      <c r="B14" s="22">
        <v>16.58</v>
      </c>
      <c r="C14" s="22">
        <f t="shared" si="0"/>
        <v>1.658</v>
      </c>
      <c r="D14" s="22">
        <v>30</v>
      </c>
      <c r="E14" s="84">
        <f t="shared" si="1"/>
        <v>0.15663322185061315</v>
      </c>
      <c r="F14" s="84">
        <f t="shared" si="2"/>
        <v>18.39463322185061</v>
      </c>
      <c r="G14" s="145">
        <f t="shared" si="3"/>
        <v>1316.7430299197322</v>
      </c>
      <c r="H14" s="119">
        <v>1315</v>
      </c>
      <c r="I14" s="146">
        <f t="shared" si="4"/>
        <v>-1.7430299197321801</v>
      </c>
    </row>
    <row r="15" spans="1:9" s="15" customFormat="1" ht="15">
      <c r="A15" s="103" t="s">
        <v>126</v>
      </c>
      <c r="B15" s="22">
        <v>11.91</v>
      </c>
      <c r="C15" s="22">
        <f t="shared" si="0"/>
        <v>1.191</v>
      </c>
      <c r="D15" s="22">
        <v>470</v>
      </c>
      <c r="E15" s="84">
        <f t="shared" si="1"/>
        <v>2.453920475659606</v>
      </c>
      <c r="F15" s="84">
        <f t="shared" si="2"/>
        <v>15.554920475659607</v>
      </c>
      <c r="G15" s="145">
        <f t="shared" si="3"/>
        <v>1113.4678724091416</v>
      </c>
      <c r="H15" s="119">
        <v>1091</v>
      </c>
      <c r="I15" s="146">
        <f t="shared" si="4"/>
        <v>-22.46787240914159</v>
      </c>
    </row>
    <row r="16" spans="1:9" s="15" customFormat="1" ht="15">
      <c r="A16" s="103" t="s">
        <v>1260</v>
      </c>
      <c r="B16" s="22">
        <v>19.42</v>
      </c>
      <c r="C16" s="22">
        <f t="shared" si="0"/>
        <v>1.9420000000000002</v>
      </c>
      <c r="D16" s="22">
        <v>725</v>
      </c>
      <c r="E16" s="84">
        <f t="shared" si="1"/>
        <v>3.785302861389818</v>
      </c>
      <c r="F16" s="84">
        <f t="shared" si="2"/>
        <v>25.147302861389818</v>
      </c>
      <c r="G16" s="145">
        <f t="shared" si="3"/>
        <v>1800.1193807268673</v>
      </c>
      <c r="H16" s="119">
        <f>1000+804</f>
        <v>1804</v>
      </c>
      <c r="I16" s="146">
        <f t="shared" si="4"/>
        <v>3.880619273132652</v>
      </c>
    </row>
    <row r="17" spans="1:9" s="15" customFormat="1" ht="15">
      <c r="A17" s="103" t="s">
        <v>630</v>
      </c>
      <c r="B17" s="22">
        <v>34.42</v>
      </c>
      <c r="C17" s="22">
        <f t="shared" si="0"/>
        <v>3.442</v>
      </c>
      <c r="D17" s="22">
        <v>1645</v>
      </c>
      <c r="E17" s="84">
        <f t="shared" si="1"/>
        <v>8.588721664808622</v>
      </c>
      <c r="F17" s="84">
        <f t="shared" si="2"/>
        <v>46.450721664808626</v>
      </c>
      <c r="G17" s="145">
        <f t="shared" si="3"/>
        <v>3325.082008931996</v>
      </c>
      <c r="H17" s="119">
        <v>3344</v>
      </c>
      <c r="I17" s="146">
        <f t="shared" si="4"/>
        <v>18.917991068004085</v>
      </c>
    </row>
    <row r="18" spans="1:10" s="8" customFormat="1" ht="15">
      <c r="A18" s="103" t="s">
        <v>224</v>
      </c>
      <c r="B18" s="85"/>
      <c r="C18" s="85"/>
      <c r="D18" s="22">
        <v>7780</v>
      </c>
      <c r="E18" s="84">
        <f t="shared" si="1"/>
        <v>40.620215533259014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13455</v>
      </c>
      <c r="E19" s="1">
        <v>70.25</v>
      </c>
      <c r="F19" s="113"/>
      <c r="G19" s="28"/>
      <c r="H19" s="28"/>
      <c r="I19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80" zoomScaleNormal="80" zoomScalePageLayoutView="0" workbookViewId="0" topLeftCell="A1">
      <selection activeCell="H8" sqref="H8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205</v>
      </c>
      <c r="B1" s="10" t="s">
        <v>1270</v>
      </c>
      <c r="C1" s="10"/>
      <c r="D1" s="10"/>
      <c r="E1" s="10"/>
      <c r="F1" s="11" t="s">
        <v>206</v>
      </c>
      <c r="G1" s="106">
        <f>70.2007*1.03</f>
        <v>72.306721</v>
      </c>
      <c r="H1" s="8" t="s">
        <v>207</v>
      </c>
      <c r="J1" s="154"/>
    </row>
    <row r="2" s="8" customFormat="1" ht="15">
      <c r="A2" s="33" t="s">
        <v>1271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1272</v>
      </c>
      <c r="B4" s="22">
        <v>7.42</v>
      </c>
      <c r="C4" s="22">
        <f aca="true" t="shared" si="0" ref="C4:C11">B4*0.1</f>
        <v>0.742</v>
      </c>
      <c r="D4" s="108">
        <v>255</v>
      </c>
      <c r="E4" s="84">
        <f aca="true" t="shared" si="1" ref="E4:E12">D4/$D$13*$E$13</f>
        <v>1.3303936130709246</v>
      </c>
      <c r="F4" s="84">
        <f aca="true" t="shared" si="2" ref="F4:F11">B4+E4+C4</f>
        <v>9.492393613070924</v>
      </c>
      <c r="G4" s="145">
        <f aca="true" t="shared" si="3" ref="G4:G11">F4*$G$1</f>
        <v>686.3638566025012</v>
      </c>
      <c r="H4" s="132">
        <v>684</v>
      </c>
      <c r="I4" s="146">
        <f aca="true" t="shared" si="4" ref="I4:I11">H4-G4</f>
        <v>-2.363856602501187</v>
      </c>
    </row>
    <row r="5" spans="1:9" s="15" customFormat="1" ht="15">
      <c r="A5" s="103" t="s">
        <v>8</v>
      </c>
      <c r="B5" s="22">
        <v>22.38</v>
      </c>
      <c r="C5" s="22">
        <f t="shared" si="0"/>
        <v>2.238</v>
      </c>
      <c r="D5" s="108">
        <v>990</v>
      </c>
      <c r="E5" s="84">
        <f t="shared" si="1"/>
        <v>5.1650575566282955</v>
      </c>
      <c r="F5" s="84">
        <f>B5+E5+C5</f>
        <v>29.783057556628293</v>
      </c>
      <c r="G5" s="145">
        <f t="shared" si="3"/>
        <v>2153.5152332740636</v>
      </c>
      <c r="H5" s="132">
        <v>2139</v>
      </c>
      <c r="I5" s="146">
        <f>H5-G5</f>
        <v>-14.515233274063576</v>
      </c>
    </row>
    <row r="6" spans="1:9" s="15" customFormat="1" ht="15">
      <c r="A6" s="103" t="s">
        <v>1257</v>
      </c>
      <c r="B6" s="22">
        <v>14.08</v>
      </c>
      <c r="C6" s="22">
        <f t="shared" si="0"/>
        <v>1.4080000000000001</v>
      </c>
      <c r="D6" s="108">
        <v>940</v>
      </c>
      <c r="E6" s="84">
        <f t="shared" si="1"/>
        <v>4.904196063869291</v>
      </c>
      <c r="F6" s="84">
        <f t="shared" si="2"/>
        <v>20.392196063869292</v>
      </c>
      <c r="G6" s="145">
        <f t="shared" si="3"/>
        <v>1474.492831367495</v>
      </c>
      <c r="H6" s="132">
        <v>1471</v>
      </c>
      <c r="I6" s="146">
        <f t="shared" si="4"/>
        <v>-3.4928313674950004</v>
      </c>
    </row>
    <row r="7" spans="1:9" s="8" customFormat="1" ht="15">
      <c r="A7" s="104" t="s">
        <v>1273</v>
      </c>
      <c r="B7" s="108">
        <v>54.08</v>
      </c>
      <c r="C7" s="22">
        <f t="shared" si="0"/>
        <v>5.408</v>
      </c>
      <c r="D7" s="22">
        <v>430</v>
      </c>
      <c r="E7" s="84">
        <f t="shared" si="1"/>
        <v>2.2434088377274417</v>
      </c>
      <c r="F7" s="84">
        <f t="shared" si="2"/>
        <v>61.73140883772744</v>
      </c>
      <c r="G7" s="145">
        <f t="shared" si="3"/>
        <v>4463.595755766492</v>
      </c>
      <c r="H7" s="119">
        <f>4370+94</f>
        <v>4464</v>
      </c>
      <c r="I7" s="146">
        <f t="shared" si="4"/>
        <v>0.40424423350759753</v>
      </c>
    </row>
    <row r="8" spans="1:9" s="15" customFormat="1" ht="15">
      <c r="A8" s="103" t="s">
        <v>1088</v>
      </c>
      <c r="B8" s="22">
        <v>18.39</v>
      </c>
      <c r="C8" s="22">
        <f t="shared" si="0"/>
        <v>1.8390000000000002</v>
      </c>
      <c r="D8" s="22">
        <v>160</v>
      </c>
      <c r="E8" s="84">
        <f t="shared" si="1"/>
        <v>0.8347567768288154</v>
      </c>
      <c r="F8" s="84">
        <f t="shared" si="2"/>
        <v>21.063756776828814</v>
      </c>
      <c r="G8" s="145">
        <f t="shared" si="3"/>
        <v>1523.0511844740201</v>
      </c>
      <c r="H8" s="132">
        <v>1525</v>
      </c>
      <c r="I8" s="146">
        <f t="shared" si="4"/>
        <v>1.9488155259798532</v>
      </c>
    </row>
    <row r="9" spans="1:9" s="15" customFormat="1" ht="15">
      <c r="A9" s="103" t="s">
        <v>1162</v>
      </c>
      <c r="B9" s="22">
        <v>21.96</v>
      </c>
      <c r="C9" s="22">
        <f t="shared" si="0"/>
        <v>2.196</v>
      </c>
      <c r="D9" s="22">
        <v>450</v>
      </c>
      <c r="E9" s="84">
        <f t="shared" si="1"/>
        <v>2.3477534348310436</v>
      </c>
      <c r="F9" s="84">
        <f t="shared" si="2"/>
        <v>26.503753434831047</v>
      </c>
      <c r="G9" s="145">
        <f t="shared" si="3"/>
        <v>1916.3995050651201</v>
      </c>
      <c r="H9" s="132">
        <v>1950</v>
      </c>
      <c r="I9" s="146">
        <f t="shared" si="4"/>
        <v>33.60049493487986</v>
      </c>
    </row>
    <row r="10" spans="1:9" s="15" customFormat="1" ht="15">
      <c r="A10" s="103" t="s">
        <v>1243</v>
      </c>
      <c r="B10" s="22">
        <v>19</v>
      </c>
      <c r="C10" s="22">
        <f t="shared" si="0"/>
        <v>1.9000000000000001</v>
      </c>
      <c r="D10" s="22">
        <v>310</v>
      </c>
      <c r="E10" s="84">
        <f t="shared" si="1"/>
        <v>1.61734125510583</v>
      </c>
      <c r="F10" s="84">
        <f t="shared" si="2"/>
        <v>22.51734125510583</v>
      </c>
      <c r="G10" s="145">
        <f t="shared" si="3"/>
        <v>1628.155111794727</v>
      </c>
      <c r="H10" s="132">
        <v>1632</v>
      </c>
      <c r="I10" s="146">
        <f t="shared" si="4"/>
        <v>3.844888205273037</v>
      </c>
    </row>
    <row r="11" spans="1:9" s="8" customFormat="1" ht="15">
      <c r="A11" s="104" t="s">
        <v>1130</v>
      </c>
      <c r="B11" s="22">
        <v>89.66</v>
      </c>
      <c r="C11" s="22">
        <f t="shared" si="0"/>
        <v>8.966</v>
      </c>
      <c r="D11" s="22">
        <v>1910</v>
      </c>
      <c r="E11" s="84">
        <f t="shared" si="1"/>
        <v>9.964909023393984</v>
      </c>
      <c r="F11" s="84">
        <f t="shared" si="2"/>
        <v>108.59090902339398</v>
      </c>
      <c r="G11" s="145">
        <f t="shared" si="3"/>
        <v>7851.852561890931</v>
      </c>
      <c r="H11" s="132">
        <v>7872</v>
      </c>
      <c r="I11" s="146">
        <f t="shared" si="4"/>
        <v>20.1474381090693</v>
      </c>
    </row>
    <row r="12" spans="1:10" s="8" customFormat="1" ht="15">
      <c r="A12" s="103" t="s">
        <v>224</v>
      </c>
      <c r="B12" s="85"/>
      <c r="C12" s="85"/>
      <c r="D12" s="22">
        <v>8020</v>
      </c>
      <c r="E12" s="84">
        <f t="shared" si="1"/>
        <v>41.842183438544374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13465</v>
      </c>
      <c r="E13" s="1">
        <v>70.25</v>
      </c>
      <c r="F13" s="113"/>
      <c r="G13" s="28"/>
      <c r="H13" s="28"/>
      <c r="I13" s="28"/>
    </row>
    <row r="16" ht="28.5">
      <c r="A16" s="107"/>
    </row>
    <row r="17" ht="28.5">
      <c r="A17" s="107"/>
    </row>
  </sheetData>
  <sheetProtection/>
  <printOptions/>
  <pageMargins left="0.7" right="0.7" top="0.75" bottom="0.75" header="0.3" footer="0.3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tabSelected="1" zoomScale="80" zoomScaleNormal="80" zoomScalePageLayoutView="0" workbookViewId="0" topLeftCell="A1">
      <selection activeCell="D26" sqref="D26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205</v>
      </c>
      <c r="B1" s="10">
        <v>42985</v>
      </c>
      <c r="C1" s="10"/>
      <c r="D1" s="10"/>
      <c r="E1" s="10"/>
      <c r="F1" s="11" t="s">
        <v>206</v>
      </c>
      <c r="G1" s="106">
        <v>70.46</v>
      </c>
      <c r="H1" s="8" t="s">
        <v>207</v>
      </c>
      <c r="J1" s="154"/>
    </row>
    <row r="2" s="8" customFormat="1" ht="15">
      <c r="A2" s="33" t="s">
        <v>1274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1275</v>
      </c>
      <c r="B4" s="22">
        <v>4.92</v>
      </c>
      <c r="C4" s="22">
        <f aca="true" t="shared" si="0" ref="C4:C14">B4*0.1</f>
        <v>0.492</v>
      </c>
      <c r="D4" s="108">
        <v>30</v>
      </c>
      <c r="E4" s="84">
        <f aca="true" t="shared" si="1" ref="E4:E16">D4/$D$17*$E$17</f>
        <v>0.15519145802650958</v>
      </c>
      <c r="F4" s="84">
        <f aca="true" t="shared" si="2" ref="F4:F14">B4+E4+C4</f>
        <v>5.567191458026509</v>
      </c>
      <c r="G4" s="145">
        <f aca="true" t="shared" si="3" ref="G4:G14">F4*$G$1</f>
        <v>392.2643101325478</v>
      </c>
      <c r="H4" s="132">
        <v>389</v>
      </c>
      <c r="I4" s="146">
        <f aca="true" t="shared" si="4" ref="I4:I14">H4-G4</f>
        <v>-3.2643101325477915</v>
      </c>
    </row>
    <row r="5" spans="1:9" s="15" customFormat="1" ht="15">
      <c r="A5" s="103" t="s">
        <v>418</v>
      </c>
      <c r="B5" s="22">
        <v>12.92</v>
      </c>
      <c r="C5" s="22">
        <f t="shared" si="0"/>
        <v>1.292</v>
      </c>
      <c r="D5" s="108">
        <v>75</v>
      </c>
      <c r="E5" s="84">
        <f t="shared" si="1"/>
        <v>0.38797864506627394</v>
      </c>
      <c r="F5" s="84">
        <f>B5+E5+C5</f>
        <v>14.599978645066274</v>
      </c>
      <c r="G5" s="145">
        <f t="shared" si="3"/>
        <v>1028.7144953313696</v>
      </c>
      <c r="H5" s="132"/>
      <c r="I5" s="146">
        <f>H5-G5</f>
        <v>-1028.7144953313696</v>
      </c>
    </row>
    <row r="6" spans="1:9" s="15" customFormat="1" ht="15">
      <c r="A6" s="103" t="s">
        <v>178</v>
      </c>
      <c r="B6" s="22">
        <v>8.25</v>
      </c>
      <c r="C6" s="22">
        <f t="shared" si="0"/>
        <v>0.8250000000000001</v>
      </c>
      <c r="D6" s="108">
        <v>165</v>
      </c>
      <c r="E6" s="84">
        <f t="shared" si="1"/>
        <v>0.8535530191458026</v>
      </c>
      <c r="F6" s="84">
        <f t="shared" si="2"/>
        <v>9.928553019145802</v>
      </c>
      <c r="G6" s="145">
        <f t="shared" si="3"/>
        <v>699.5658457290132</v>
      </c>
      <c r="H6" s="132">
        <v>697</v>
      </c>
      <c r="I6" s="146">
        <f t="shared" si="4"/>
        <v>-2.5658457290131764</v>
      </c>
    </row>
    <row r="7" spans="1:9" s="8" customFormat="1" ht="15">
      <c r="A7" s="104" t="s">
        <v>1276</v>
      </c>
      <c r="B7" s="108">
        <v>16.5</v>
      </c>
      <c r="C7" s="22">
        <f t="shared" si="0"/>
        <v>1.6500000000000001</v>
      </c>
      <c r="D7" s="22">
        <v>130</v>
      </c>
      <c r="E7" s="84">
        <f t="shared" si="1"/>
        <v>0.6724963181148749</v>
      </c>
      <c r="F7" s="84">
        <f t="shared" si="2"/>
        <v>18.822496318114872</v>
      </c>
      <c r="G7" s="145">
        <f t="shared" si="3"/>
        <v>1326.2330905743738</v>
      </c>
      <c r="H7" s="132">
        <v>1328</v>
      </c>
      <c r="I7" s="146">
        <f t="shared" si="4"/>
        <v>1.7669094256261815</v>
      </c>
    </row>
    <row r="8" spans="1:9" s="15" customFormat="1" ht="15">
      <c r="A8" s="103" t="s">
        <v>254</v>
      </c>
      <c r="B8" s="22">
        <v>16.5</v>
      </c>
      <c r="C8" s="22">
        <f t="shared" si="0"/>
        <v>1.6500000000000001</v>
      </c>
      <c r="D8" s="22">
        <v>335</v>
      </c>
      <c r="E8" s="84">
        <f t="shared" si="1"/>
        <v>1.7329712812960234</v>
      </c>
      <c r="F8" s="84">
        <f t="shared" si="2"/>
        <v>19.882971281296022</v>
      </c>
      <c r="G8" s="145">
        <f t="shared" si="3"/>
        <v>1400.9541564801177</v>
      </c>
      <c r="H8" s="132">
        <v>1157</v>
      </c>
      <c r="I8" s="146">
        <f t="shared" si="4"/>
        <v>-243.95415648011772</v>
      </c>
    </row>
    <row r="9" spans="1:9" s="15" customFormat="1" ht="15">
      <c r="A9" s="103" t="s">
        <v>657</v>
      </c>
      <c r="B9" s="22">
        <v>5.75</v>
      </c>
      <c r="C9" s="22">
        <f t="shared" si="0"/>
        <v>0.5750000000000001</v>
      </c>
      <c r="D9" s="22">
        <v>585</v>
      </c>
      <c r="E9" s="84">
        <f t="shared" si="1"/>
        <v>3.026233431516937</v>
      </c>
      <c r="F9" s="84">
        <f t="shared" si="2"/>
        <v>9.351233431516937</v>
      </c>
      <c r="G9" s="145">
        <f t="shared" si="3"/>
        <v>658.8879075846833</v>
      </c>
      <c r="H9" s="132">
        <v>760</v>
      </c>
      <c r="I9" s="146">
        <f t="shared" si="4"/>
        <v>101.11209241531674</v>
      </c>
    </row>
    <row r="10" spans="1:9" s="15" customFormat="1" ht="15">
      <c r="A10" s="103" t="s">
        <v>1150</v>
      </c>
      <c r="B10" s="22">
        <v>7.92</v>
      </c>
      <c r="C10" s="22">
        <f t="shared" si="0"/>
        <v>0.792</v>
      </c>
      <c r="D10" s="22">
        <v>155</v>
      </c>
      <c r="E10" s="84">
        <f t="shared" si="1"/>
        <v>0.801822533136966</v>
      </c>
      <c r="F10" s="84">
        <f t="shared" si="2"/>
        <v>9.513822533136965</v>
      </c>
      <c r="G10" s="145">
        <f t="shared" si="3"/>
        <v>670.3439356848305</v>
      </c>
      <c r="H10" s="132">
        <v>670</v>
      </c>
      <c r="I10" s="146">
        <f t="shared" si="4"/>
        <v>-0.3439356848305124</v>
      </c>
    </row>
    <row r="11" spans="1:9" s="15" customFormat="1" ht="15">
      <c r="A11" s="103" t="s">
        <v>614</v>
      </c>
      <c r="B11" s="22">
        <v>3.75</v>
      </c>
      <c r="C11" s="22">
        <f>B11*0.1</f>
        <v>0.375</v>
      </c>
      <c r="D11" s="108">
        <v>125</v>
      </c>
      <c r="E11" s="84">
        <f t="shared" si="1"/>
        <v>0.6466310751104566</v>
      </c>
      <c r="F11" s="84">
        <f>B11+E11+C11</f>
        <v>4.771631075110457</v>
      </c>
      <c r="G11" s="145">
        <f>F11*$G$1</f>
        <v>336.2091255522827</v>
      </c>
      <c r="H11" s="132">
        <v>333</v>
      </c>
      <c r="I11" s="146">
        <f>H11-G11</f>
        <v>-3.2091255522827282</v>
      </c>
    </row>
    <row r="12" spans="1:9" s="15" customFormat="1" ht="15">
      <c r="A12" s="103" t="s">
        <v>1277</v>
      </c>
      <c r="B12" s="22">
        <v>21.61</v>
      </c>
      <c r="C12" s="22">
        <f>B12*0.1</f>
        <v>2.161</v>
      </c>
      <c r="D12" s="108">
        <v>1005</v>
      </c>
      <c r="E12" s="84">
        <f t="shared" si="1"/>
        <v>5.198913843888071</v>
      </c>
      <c r="F12" s="84">
        <f>B12+E12+C12</f>
        <v>28.969913843888072</v>
      </c>
      <c r="G12" s="145">
        <f>F12*$G$1</f>
        <v>2041.2201294403535</v>
      </c>
      <c r="H12" s="132">
        <f>1036+1000</f>
        <v>2036</v>
      </c>
      <c r="I12" s="146">
        <f>H12-G12</f>
        <v>-5.220129440353503</v>
      </c>
    </row>
    <row r="13" spans="1:9" s="15" customFormat="1" ht="15">
      <c r="A13" s="103" t="s">
        <v>630</v>
      </c>
      <c r="B13" s="22">
        <v>21.5</v>
      </c>
      <c r="C13" s="22">
        <f>B13*0.1</f>
        <v>2.15</v>
      </c>
      <c r="D13" s="108">
        <v>185</v>
      </c>
      <c r="E13" s="84">
        <f t="shared" si="1"/>
        <v>0.9570139911634757</v>
      </c>
      <c r="F13" s="84">
        <f>B13+E13+C13</f>
        <v>24.607013991163473</v>
      </c>
      <c r="G13" s="145">
        <f>F13*$G$1</f>
        <v>1733.8102058173781</v>
      </c>
      <c r="H13" s="132">
        <v>1736</v>
      </c>
      <c r="I13" s="146">
        <f>H13-G13</f>
        <v>2.189794182621881</v>
      </c>
    </row>
    <row r="14" spans="1:9" s="8" customFormat="1" ht="15">
      <c r="A14" s="104" t="s">
        <v>96</v>
      </c>
      <c r="B14" s="22">
        <v>19.92</v>
      </c>
      <c r="C14" s="22">
        <f t="shared" si="0"/>
        <v>1.9920000000000002</v>
      </c>
      <c r="D14" s="22">
        <v>540</v>
      </c>
      <c r="E14" s="84">
        <f t="shared" si="1"/>
        <v>2.793446244477172</v>
      </c>
      <c r="F14" s="84">
        <f t="shared" si="2"/>
        <v>24.705446244477177</v>
      </c>
      <c r="G14" s="145">
        <f t="shared" si="3"/>
        <v>1740.7457423858616</v>
      </c>
      <c r="H14" s="132">
        <v>1746</v>
      </c>
      <c r="I14" s="146">
        <f t="shared" si="4"/>
        <v>5.254257614138396</v>
      </c>
    </row>
    <row r="15" spans="1:9" s="8" customFormat="1" ht="15">
      <c r="A15" s="103" t="s">
        <v>1278</v>
      </c>
      <c r="B15" s="22">
        <v>98.49</v>
      </c>
      <c r="C15" s="22">
        <f>B15*0.1</f>
        <v>9.849</v>
      </c>
      <c r="D15" s="22">
        <v>500</v>
      </c>
      <c r="E15" s="84">
        <f t="shared" si="1"/>
        <v>2.5865243004418264</v>
      </c>
      <c r="F15" s="84">
        <f>B15+E15+C15</f>
        <v>110.92552430044182</v>
      </c>
      <c r="G15" s="145">
        <f>F15*$G$1</f>
        <v>7815.8124422091305</v>
      </c>
      <c r="H15" s="132">
        <v>7795</v>
      </c>
      <c r="I15" s="146">
        <f>H15-G15</f>
        <v>-20.812442209130495</v>
      </c>
    </row>
    <row r="16" spans="1:10" s="8" customFormat="1" ht="15">
      <c r="A16" s="103" t="s">
        <v>224</v>
      </c>
      <c r="B16" s="85"/>
      <c r="C16" s="85"/>
      <c r="D16" s="22">
        <v>9750</v>
      </c>
      <c r="E16" s="84">
        <f t="shared" si="1"/>
        <v>50.43722385861561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13580</v>
      </c>
      <c r="E17" s="1">
        <v>70.25</v>
      </c>
      <c r="F17" s="113"/>
      <c r="G17" s="28"/>
      <c r="H17" s="28"/>
      <c r="I17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dimension ref="A1:J21"/>
  <sheetViews>
    <sheetView zoomScale="80" zoomScaleNormal="80" zoomScalePageLayoutView="0" workbookViewId="0" topLeftCell="A1">
      <selection activeCell="B15" sqref="B15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205</v>
      </c>
      <c r="B1" s="10">
        <v>42993</v>
      </c>
      <c r="C1" s="10"/>
      <c r="D1" s="10"/>
      <c r="E1" s="10"/>
      <c r="F1" s="11" t="s">
        <v>206</v>
      </c>
      <c r="G1" s="106">
        <f>68.5801*1.02</f>
        <v>69.951702</v>
      </c>
      <c r="H1" s="8" t="s">
        <v>207</v>
      </c>
      <c r="J1" s="154"/>
    </row>
    <row r="2" s="8" customFormat="1" ht="15">
      <c r="A2" s="33" t="s">
        <v>1291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96</v>
      </c>
      <c r="B4" s="22">
        <v>5.42</v>
      </c>
      <c r="C4" s="22">
        <f aca="true" t="shared" si="0" ref="C4:C14">B4*0.1</f>
        <v>0.542</v>
      </c>
      <c r="D4" s="108">
        <v>40</v>
      </c>
      <c r="E4" s="84">
        <f aca="true" t="shared" si="1" ref="E4:E16">D4/$D$17*$E$17</f>
        <v>0.2108027006751688</v>
      </c>
      <c r="F4" s="84">
        <f aca="true" t="shared" si="2" ref="F4:F14">B4+E4+C4</f>
        <v>6.1728027006751685</v>
      </c>
      <c r="G4" s="145">
        <f aca="true" t="shared" si="3" ref="G4:G14">F4*$G$1</f>
        <v>431.7980550224246</v>
      </c>
      <c r="H4" s="132"/>
      <c r="I4" s="146">
        <f aca="true" t="shared" si="4" ref="I4:I14">H4-G4</f>
        <v>-431.7980550224246</v>
      </c>
    </row>
    <row r="5" spans="1:9" s="15" customFormat="1" ht="15">
      <c r="A5" s="103" t="s">
        <v>704</v>
      </c>
      <c r="B5" s="22">
        <v>5.75</v>
      </c>
      <c r="C5" s="22">
        <f t="shared" si="0"/>
        <v>0.5750000000000001</v>
      </c>
      <c r="D5" s="108">
        <v>60</v>
      </c>
      <c r="E5" s="84">
        <f t="shared" si="1"/>
        <v>0.3162040510127532</v>
      </c>
      <c r="F5" s="84">
        <f>B5+E5+C5</f>
        <v>6.641204051012753</v>
      </c>
      <c r="G5" s="145">
        <f t="shared" si="3"/>
        <v>464.5635266976369</v>
      </c>
      <c r="H5" s="132"/>
      <c r="I5" s="146">
        <f>H5-G5</f>
        <v>-464.5635266976369</v>
      </c>
    </row>
    <row r="6" spans="1:9" s="15" customFormat="1" ht="15">
      <c r="A6" s="103" t="s">
        <v>1293</v>
      </c>
      <c r="B6" s="22">
        <v>13.25</v>
      </c>
      <c r="C6" s="22">
        <f t="shared" si="0"/>
        <v>1.3250000000000002</v>
      </c>
      <c r="D6" s="108">
        <v>900</v>
      </c>
      <c r="E6" s="84">
        <f t="shared" si="1"/>
        <v>4.743060765191298</v>
      </c>
      <c r="F6" s="84">
        <f t="shared" si="2"/>
        <v>19.318060765191298</v>
      </c>
      <c r="G6" s="145">
        <f t="shared" si="3"/>
        <v>1351.3312298645535</v>
      </c>
      <c r="H6" s="132"/>
      <c r="I6" s="146">
        <f t="shared" si="4"/>
        <v>-1351.3312298645535</v>
      </c>
    </row>
    <row r="7" spans="1:9" s="8" customFormat="1" ht="15">
      <c r="A7" s="104" t="s">
        <v>1257</v>
      </c>
      <c r="B7" s="108">
        <v>7.27</v>
      </c>
      <c r="C7" s="22">
        <f t="shared" si="0"/>
        <v>0.727</v>
      </c>
      <c r="D7" s="22">
        <v>500</v>
      </c>
      <c r="E7" s="84">
        <f t="shared" si="1"/>
        <v>2.6350337584396097</v>
      </c>
      <c r="F7" s="84">
        <f t="shared" si="2"/>
        <v>10.63203375843961</v>
      </c>
      <c r="G7" s="145">
        <f t="shared" si="3"/>
        <v>743.7288571243075</v>
      </c>
      <c r="H7" s="132"/>
      <c r="I7" s="146">
        <f t="shared" si="4"/>
        <v>-743.7288571243075</v>
      </c>
    </row>
    <row r="8" spans="1:9" s="15" customFormat="1" ht="15">
      <c r="A8" s="103" t="s">
        <v>998</v>
      </c>
      <c r="B8" s="22">
        <v>5.78</v>
      </c>
      <c r="C8" s="22">
        <f t="shared" si="0"/>
        <v>0.5780000000000001</v>
      </c>
      <c r="D8" s="22">
        <v>1100</v>
      </c>
      <c r="E8" s="84">
        <f t="shared" si="1"/>
        <v>5.797074268567141</v>
      </c>
      <c r="F8" s="84">
        <f t="shared" si="2"/>
        <v>12.155074268567141</v>
      </c>
      <c r="G8" s="145">
        <f t="shared" si="3"/>
        <v>850.2681330226766</v>
      </c>
      <c r="H8" s="132"/>
      <c r="I8" s="146">
        <f t="shared" si="4"/>
        <v>-850.2681330226766</v>
      </c>
    </row>
    <row r="9" spans="1:9" s="15" customFormat="1" ht="15">
      <c r="A9" s="103" t="s">
        <v>1206</v>
      </c>
      <c r="B9" s="22">
        <v>26.32</v>
      </c>
      <c r="C9" s="22">
        <f t="shared" si="0"/>
        <v>2.632</v>
      </c>
      <c r="D9" s="22">
        <v>200</v>
      </c>
      <c r="E9" s="84">
        <f t="shared" si="1"/>
        <v>1.054013503375844</v>
      </c>
      <c r="F9" s="84">
        <f t="shared" si="2"/>
        <v>30.006013503375847</v>
      </c>
      <c r="G9" s="145">
        <f t="shared" si="3"/>
        <v>2098.9717147961233</v>
      </c>
      <c r="H9" s="132"/>
      <c r="I9" s="146">
        <f t="shared" si="4"/>
        <v>-2098.9717147961233</v>
      </c>
    </row>
    <row r="10" spans="1:9" s="15" customFormat="1" ht="15">
      <c r="A10" s="103" t="s">
        <v>1128</v>
      </c>
      <c r="B10" s="22">
        <v>12.495</v>
      </c>
      <c r="C10" s="22">
        <f t="shared" si="0"/>
        <v>1.2495</v>
      </c>
      <c r="D10" s="22">
        <v>450</v>
      </c>
      <c r="E10" s="84">
        <f t="shared" si="1"/>
        <v>2.371530382595649</v>
      </c>
      <c r="F10" s="84">
        <f t="shared" si="2"/>
        <v>16.11603038259565</v>
      </c>
      <c r="G10" s="145">
        <f t="shared" si="3"/>
        <v>1127.3437547462768</v>
      </c>
      <c r="H10" s="132"/>
      <c r="I10" s="146">
        <f t="shared" si="4"/>
        <v>-1127.3437547462768</v>
      </c>
    </row>
    <row r="11" spans="1:9" s="15" customFormat="1" ht="15">
      <c r="A11" s="103" t="s">
        <v>1294</v>
      </c>
      <c r="B11" s="22">
        <v>24.31</v>
      </c>
      <c r="C11" s="22">
        <f>B11*0.1</f>
        <v>2.431</v>
      </c>
      <c r="D11" s="108">
        <v>830</v>
      </c>
      <c r="E11" s="84">
        <f t="shared" si="1"/>
        <v>4.374156039009753</v>
      </c>
      <c r="F11" s="84">
        <f>B11+E11+C11</f>
        <v>31.11515603900975</v>
      </c>
      <c r="G11" s="145">
        <f>F11*$G$1</f>
        <v>2176.5581229243103</v>
      </c>
      <c r="H11" s="132"/>
      <c r="I11" s="146">
        <f>H11-G11</f>
        <v>-2176.5581229243103</v>
      </c>
    </row>
    <row r="12" spans="1:9" s="15" customFormat="1" ht="15">
      <c r="A12" s="103" t="s">
        <v>1295</v>
      </c>
      <c r="B12" s="22">
        <v>27.33</v>
      </c>
      <c r="C12" s="22">
        <f>B12*0.1</f>
        <v>2.733</v>
      </c>
      <c r="D12" s="108">
        <v>160</v>
      </c>
      <c r="E12" s="84">
        <f t="shared" si="1"/>
        <v>0.8432108027006752</v>
      </c>
      <c r="F12" s="84">
        <f>B12+E12+C12</f>
        <v>30.906210802700674</v>
      </c>
      <c r="G12" s="145">
        <f>F12*$G$1</f>
        <v>2161.942048019698</v>
      </c>
      <c r="H12" s="132"/>
      <c r="I12" s="146">
        <f>H12-G12</f>
        <v>-2161.942048019698</v>
      </c>
    </row>
    <row r="13" spans="1:9" s="15" customFormat="1" ht="15">
      <c r="A13" s="103" t="s">
        <v>1029</v>
      </c>
      <c r="B13" s="22">
        <v>23.03</v>
      </c>
      <c r="C13" s="22">
        <f>B13*0.1</f>
        <v>2.3030000000000004</v>
      </c>
      <c r="D13" s="108">
        <v>220</v>
      </c>
      <c r="E13" s="84">
        <f t="shared" si="1"/>
        <v>1.1594148537134283</v>
      </c>
      <c r="F13" s="84">
        <f>B13+E13+C13</f>
        <v>26.49241485371343</v>
      </c>
      <c r="G13" s="145">
        <f>F13*$G$1</f>
        <v>1853.1895091073354</v>
      </c>
      <c r="H13" s="132"/>
      <c r="I13" s="146">
        <f>H13-G13</f>
        <v>-1853.1895091073354</v>
      </c>
    </row>
    <row r="14" spans="1:9" s="8" customFormat="1" ht="15">
      <c r="A14" s="104" t="s">
        <v>426</v>
      </c>
      <c r="B14" s="22">
        <v>7.83</v>
      </c>
      <c r="C14" s="22">
        <f t="shared" si="0"/>
        <v>0.783</v>
      </c>
      <c r="D14" s="22">
        <v>370</v>
      </c>
      <c r="E14" s="84">
        <f t="shared" si="1"/>
        <v>1.9499249812453112</v>
      </c>
      <c r="F14" s="84">
        <f t="shared" si="2"/>
        <v>10.562924981245311</v>
      </c>
      <c r="G14" s="145">
        <f t="shared" si="3"/>
        <v>738.8945805364276</v>
      </c>
      <c r="H14" s="132"/>
      <c r="I14" s="146">
        <f t="shared" si="4"/>
        <v>-738.8945805364276</v>
      </c>
    </row>
    <row r="15" spans="1:9" s="8" customFormat="1" ht="15">
      <c r="A15" s="103" t="s">
        <v>1229</v>
      </c>
      <c r="B15" s="22">
        <v>5.84</v>
      </c>
      <c r="C15" s="22">
        <f>B15*0.1</f>
        <v>0.584</v>
      </c>
      <c r="D15" s="22">
        <v>240</v>
      </c>
      <c r="E15" s="84">
        <f t="shared" si="1"/>
        <v>1.2648162040510127</v>
      </c>
      <c r="F15" s="84">
        <f>B15+E15+C15</f>
        <v>7.688816204051012</v>
      </c>
      <c r="G15" s="145">
        <f>F15*$G$1</f>
        <v>537.8457798385475</v>
      </c>
      <c r="H15" s="132"/>
      <c r="I15" s="146">
        <f>H15-G15</f>
        <v>-537.8457798385475</v>
      </c>
    </row>
    <row r="16" spans="1:10" s="8" customFormat="1" ht="15">
      <c r="A16" s="103" t="s">
        <v>224</v>
      </c>
      <c r="B16" s="85"/>
      <c r="C16" s="85"/>
      <c r="D16" s="22">
        <v>8260</v>
      </c>
      <c r="E16" s="84">
        <f t="shared" si="1"/>
        <v>43.53075768942235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13330</v>
      </c>
      <c r="E17" s="1">
        <v>70.25</v>
      </c>
      <c r="F17" s="113"/>
      <c r="G17" s="28"/>
      <c r="H17" s="28"/>
      <c r="I17" s="28"/>
    </row>
    <row r="20" ht="28.5">
      <c r="A20" s="107" t="s">
        <v>889</v>
      </c>
    </row>
    <row r="21" ht="28.5">
      <c r="A21" s="107" t="s">
        <v>1292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8" customFormat="1" ht="21.75" customHeight="1">
      <c r="A1" s="9" t="s">
        <v>205</v>
      </c>
      <c r="B1" s="10">
        <v>41400</v>
      </c>
      <c r="C1" s="10"/>
      <c r="D1" s="11" t="s">
        <v>206</v>
      </c>
      <c r="E1" s="12">
        <v>41.54</v>
      </c>
      <c r="G1" s="8" t="s">
        <v>207</v>
      </c>
    </row>
    <row r="2" s="8" customFormat="1" ht="23.25" customHeight="1">
      <c r="A2" s="33" t="s">
        <v>252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87</v>
      </c>
      <c r="B4" s="16">
        <v>22.85</v>
      </c>
      <c r="C4" s="16">
        <f aca="true" t="shared" si="0" ref="C4:C13">B4*0.95</f>
        <v>21.7075</v>
      </c>
      <c r="D4" s="16">
        <f>B4/$B$15*$D$15</f>
        <v>1.1451631701631702</v>
      </c>
      <c r="E4" s="17">
        <f>(C4+D4)*$E$1</f>
        <v>949.2996280885781</v>
      </c>
      <c r="F4" s="18"/>
      <c r="G4" s="19">
        <f>E4-F4</f>
        <v>949.2996280885781</v>
      </c>
      <c r="H4" s="22">
        <v>947</v>
      </c>
      <c r="I4" s="21">
        <f>H4-G4+F4</f>
        <v>-2.2996280885780607</v>
      </c>
    </row>
    <row r="5" spans="1:9" s="8" customFormat="1" ht="15">
      <c r="A5" s="4" t="s">
        <v>49</v>
      </c>
      <c r="B5" s="16">
        <v>11.95</v>
      </c>
      <c r="C5" s="16">
        <f>B5*0.95</f>
        <v>11.3525</v>
      </c>
      <c r="D5" s="16">
        <f aca="true" t="shared" si="1" ref="D5:D14">B5/$B$15*$D$15</f>
        <v>0.5988927738927738</v>
      </c>
      <c r="E5" s="17">
        <f>(C5+D5)*$E$1</f>
        <v>496.4608558275057</v>
      </c>
      <c r="F5" s="18"/>
      <c r="G5" s="19">
        <f>E5-F5</f>
        <v>496.4608558275057</v>
      </c>
      <c r="H5" s="22">
        <v>506</v>
      </c>
      <c r="I5" s="21">
        <f>H5-G5+F5</f>
        <v>9.539144172494275</v>
      </c>
    </row>
    <row r="6" spans="1:9" s="8" customFormat="1" ht="15">
      <c r="A6" s="4" t="s">
        <v>84</v>
      </c>
      <c r="B6" s="16">
        <v>17.5</v>
      </c>
      <c r="C6" s="16">
        <f>B6*0.95</f>
        <v>16.625</v>
      </c>
      <c r="D6" s="16">
        <f t="shared" si="1"/>
        <v>0.877039627039627</v>
      </c>
      <c r="E6" s="17">
        <f>(C6+D6)*$E$1</f>
        <v>727.034726107226</v>
      </c>
      <c r="F6" s="18"/>
      <c r="G6" s="19">
        <f>E6-F6</f>
        <v>727.034726107226</v>
      </c>
      <c r="H6" s="22">
        <v>725</v>
      </c>
      <c r="I6" s="21">
        <f>H6-G6+F6</f>
        <v>-2.0347261072259926</v>
      </c>
    </row>
    <row r="7" spans="1:9" s="8" customFormat="1" ht="15">
      <c r="A7" s="4" t="s">
        <v>61</v>
      </c>
      <c r="B7" s="16">
        <v>189.5</v>
      </c>
      <c r="C7" s="16">
        <f t="shared" si="0"/>
        <v>180.025</v>
      </c>
      <c r="D7" s="16">
        <f t="shared" si="1"/>
        <v>9.497086247086246</v>
      </c>
      <c r="E7" s="17">
        <f aca="true" t="shared" si="2" ref="E7:E13">(C7+D7)*$E$1</f>
        <v>7872.747462703963</v>
      </c>
      <c r="F7" s="18"/>
      <c r="G7" s="19">
        <f aca="true" t="shared" si="3" ref="G7:G13">E7-F7</f>
        <v>7872.747462703963</v>
      </c>
      <c r="H7" s="22">
        <v>7834</v>
      </c>
      <c r="I7" s="21">
        <f aca="true" t="shared" si="4" ref="I7:I13">H7-G7+F7</f>
        <v>-38.74746270396281</v>
      </c>
    </row>
    <row r="8" spans="1:9" s="8" customFormat="1" ht="15">
      <c r="A8" s="4" t="s">
        <v>253</v>
      </c>
      <c r="B8" s="16">
        <v>5.9</v>
      </c>
      <c r="C8" s="16">
        <f t="shared" si="0"/>
        <v>5.605</v>
      </c>
      <c r="D8" s="16">
        <f t="shared" si="1"/>
        <v>0.2956876456876457</v>
      </c>
      <c r="E8" s="17">
        <f t="shared" si="2"/>
        <v>245.11456480186482</v>
      </c>
      <c r="F8" s="18"/>
      <c r="G8" s="19">
        <f t="shared" si="3"/>
        <v>245.11456480186482</v>
      </c>
      <c r="H8" s="22">
        <v>245</v>
      </c>
      <c r="I8" s="21">
        <f t="shared" si="4"/>
        <v>-0.11456480186481599</v>
      </c>
    </row>
    <row r="9" spans="1:9" s="8" customFormat="1" ht="15">
      <c r="A9" s="4" t="s">
        <v>109</v>
      </c>
      <c r="B9" s="16">
        <v>35.3</v>
      </c>
      <c r="C9" s="16">
        <f t="shared" si="0"/>
        <v>33.535</v>
      </c>
      <c r="D9" s="16">
        <f t="shared" si="1"/>
        <v>1.7691142191142188</v>
      </c>
      <c r="E9" s="17">
        <f t="shared" si="2"/>
        <v>1466.5329046620045</v>
      </c>
      <c r="F9" s="18"/>
      <c r="G9" s="19">
        <f t="shared" si="3"/>
        <v>1466.5329046620045</v>
      </c>
      <c r="H9" s="22">
        <v>1463</v>
      </c>
      <c r="I9" s="21">
        <f t="shared" si="4"/>
        <v>-3.532904662004512</v>
      </c>
    </row>
    <row r="10" spans="1:9" s="8" customFormat="1" ht="15">
      <c r="A10" s="4" t="s">
        <v>18</v>
      </c>
      <c r="B10" s="16">
        <v>21.8</v>
      </c>
      <c r="C10" s="16">
        <f t="shared" si="0"/>
        <v>20.71</v>
      </c>
      <c r="D10" s="16">
        <f t="shared" si="1"/>
        <v>1.0925407925407926</v>
      </c>
      <c r="E10" s="17">
        <f t="shared" si="2"/>
        <v>905.6775445221446</v>
      </c>
      <c r="F10" s="18"/>
      <c r="G10" s="19">
        <f t="shared" si="3"/>
        <v>905.6775445221446</v>
      </c>
      <c r="H10" s="22">
        <v>877</v>
      </c>
      <c r="I10" s="21">
        <f t="shared" si="4"/>
        <v>-28.677544522144558</v>
      </c>
    </row>
    <row r="11" spans="1:9" s="8" customFormat="1" ht="15">
      <c r="A11" s="4" t="s">
        <v>254</v>
      </c>
      <c r="B11" s="16">
        <v>44.6</v>
      </c>
      <c r="C11" s="16">
        <f t="shared" si="0"/>
        <v>42.37</v>
      </c>
      <c r="D11" s="16">
        <f t="shared" si="1"/>
        <v>2.2351981351981354</v>
      </c>
      <c r="E11" s="17">
        <f t="shared" si="2"/>
        <v>1852.8999305361303</v>
      </c>
      <c r="F11" s="18"/>
      <c r="G11" s="19">
        <f t="shared" si="3"/>
        <v>1852.8999305361303</v>
      </c>
      <c r="H11" s="22">
        <v>1861</v>
      </c>
      <c r="I11" s="21">
        <f t="shared" si="4"/>
        <v>8.100069463869659</v>
      </c>
    </row>
    <row r="12" spans="1:9" s="8" customFormat="1" ht="15">
      <c r="A12" s="4" t="s">
        <v>236</v>
      </c>
      <c r="B12" s="16">
        <v>28.4</v>
      </c>
      <c r="C12" s="16">
        <f t="shared" si="0"/>
        <v>26.979999999999997</v>
      </c>
      <c r="D12" s="16">
        <f t="shared" si="1"/>
        <v>1.4233100233100233</v>
      </c>
      <c r="E12" s="17">
        <f t="shared" si="2"/>
        <v>1179.8734983682982</v>
      </c>
      <c r="F12" s="18"/>
      <c r="G12" s="19">
        <f t="shared" si="3"/>
        <v>1179.8734983682982</v>
      </c>
      <c r="H12" s="22">
        <v>1200</v>
      </c>
      <c r="I12" s="21">
        <f t="shared" si="4"/>
        <v>20.126501631701785</v>
      </c>
    </row>
    <row r="13" spans="1:9" s="8" customFormat="1" ht="15">
      <c r="A13" s="4" t="s">
        <v>72</v>
      </c>
      <c r="B13" s="16">
        <v>10.9</v>
      </c>
      <c r="C13" s="16">
        <f t="shared" si="0"/>
        <v>10.355</v>
      </c>
      <c r="D13" s="16">
        <f t="shared" si="1"/>
        <v>0.5462703962703963</v>
      </c>
      <c r="E13" s="17">
        <f t="shared" si="2"/>
        <v>452.8387722610723</v>
      </c>
      <c r="F13" s="18"/>
      <c r="G13" s="19">
        <f t="shared" si="3"/>
        <v>452.8387722610723</v>
      </c>
      <c r="H13" s="49">
        <v>452</v>
      </c>
      <c r="I13" s="21">
        <f t="shared" si="4"/>
        <v>-0.838772261072279</v>
      </c>
    </row>
    <row r="14" spans="1:9" s="8" customFormat="1" ht="15">
      <c r="A14" s="8" t="s">
        <v>224</v>
      </c>
      <c r="B14" s="16">
        <v>40.3</v>
      </c>
      <c r="C14" s="16">
        <f>B14*0.95</f>
        <v>38.285</v>
      </c>
      <c r="D14" s="16">
        <f t="shared" si="1"/>
        <v>2.0196969696969695</v>
      </c>
      <c r="E14" s="27"/>
      <c r="F14" s="28"/>
      <c r="G14" s="28"/>
      <c r="H14" s="28"/>
      <c r="I14" s="28"/>
    </row>
    <row r="15" spans="1:9" s="8" customFormat="1" ht="15">
      <c r="A15" s="26"/>
      <c r="B15" s="26">
        <f>SUM(B4:B14)</f>
        <v>429</v>
      </c>
      <c r="C15" s="26">
        <f>SUM(C4:C14)</f>
        <v>407.55000000000007</v>
      </c>
      <c r="D15" s="26">
        <v>21.5</v>
      </c>
      <c r="E15" s="27"/>
      <c r="F15" s="28"/>
      <c r="G15" s="28"/>
      <c r="H15" s="28"/>
      <c r="I15" s="28"/>
    </row>
    <row r="17" ht="31.5">
      <c r="A17" s="50" t="s">
        <v>255</v>
      </c>
    </row>
    <row r="18" ht="31.5">
      <c r="A18" s="50" t="s">
        <v>256</v>
      </c>
    </row>
    <row r="19" spans="1:11" ht="31.5">
      <c r="A19" s="51" t="s">
        <v>61</v>
      </c>
      <c r="B19" s="51"/>
      <c r="C19" s="52"/>
      <c r="D19" s="52"/>
      <c r="E19" s="52"/>
      <c r="F19" s="53"/>
      <c r="G19" s="8"/>
      <c r="H19" s="8"/>
      <c r="I19" s="8"/>
      <c r="J19" s="8"/>
      <c r="K19" s="8"/>
    </row>
    <row r="20" spans="1:16" ht="15">
      <c r="A20" s="54" t="s">
        <v>257</v>
      </c>
      <c r="B20" s="54"/>
      <c r="C20" s="55"/>
      <c r="D20" s="55">
        <v>1</v>
      </c>
      <c r="E20" s="55"/>
      <c r="F20" s="54">
        <v>5.9</v>
      </c>
      <c r="G20" s="56" t="s">
        <v>258</v>
      </c>
      <c r="H20" s="8"/>
      <c r="I20" s="8"/>
      <c r="J20" s="8"/>
      <c r="K20" s="8"/>
      <c r="O20" s="57"/>
      <c r="P20" s="58" t="s">
        <v>259</v>
      </c>
    </row>
    <row r="21" spans="1:11" ht="15">
      <c r="A21" s="55" t="s">
        <v>257</v>
      </c>
      <c r="B21" s="55"/>
      <c r="C21" s="55"/>
      <c r="D21" s="55">
        <v>1</v>
      </c>
      <c r="E21" s="55"/>
      <c r="F21" s="54">
        <v>17.9</v>
      </c>
      <c r="G21" s="59" t="s">
        <v>260</v>
      </c>
      <c r="H21" s="8"/>
      <c r="I21" s="8"/>
      <c r="J21" s="8"/>
      <c r="K21" s="8"/>
    </row>
    <row r="22" spans="1:11" ht="15">
      <c r="A22" s="60"/>
      <c r="B22" s="61"/>
      <c r="C22" s="55"/>
      <c r="D22" s="55">
        <v>1</v>
      </c>
      <c r="E22" s="55"/>
      <c r="F22" s="62"/>
      <c r="G22" s="63" t="s">
        <v>261</v>
      </c>
      <c r="H22" s="8"/>
      <c r="I22" s="8"/>
      <c r="J22" s="8"/>
      <c r="K22" s="8"/>
    </row>
    <row r="23" s="51" customFormat="1" ht="31.5">
      <c r="A23" s="51" t="s">
        <v>236</v>
      </c>
    </row>
    <row r="24" spans="1:7" ht="15">
      <c r="A24" s="55"/>
      <c r="B24" s="55"/>
      <c r="C24" s="55"/>
      <c r="D24" s="55"/>
      <c r="E24" s="55"/>
      <c r="F24" s="57"/>
      <c r="G24" s="58" t="s">
        <v>262</v>
      </c>
    </row>
    <row r="25" s="51" customFormat="1" ht="31.5">
      <c r="A25" s="51" t="s">
        <v>72</v>
      </c>
    </row>
    <row r="26" spans="1:7" ht="15">
      <c r="A26" s="55"/>
      <c r="B26" s="55"/>
      <c r="C26" s="55"/>
      <c r="D26" s="55"/>
      <c r="E26" s="55"/>
      <c r="F26" s="64"/>
      <c r="G26" s="58" t="s">
        <v>263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8" customFormat="1" ht="21.75" customHeight="1">
      <c r="A1" s="9" t="s">
        <v>205</v>
      </c>
      <c r="B1" s="10">
        <v>41400</v>
      </c>
      <c r="C1" s="10"/>
      <c r="D1" s="11" t="s">
        <v>206</v>
      </c>
      <c r="E1" s="12">
        <v>41.54</v>
      </c>
      <c r="G1" s="8" t="s">
        <v>207</v>
      </c>
    </row>
    <row r="2" s="8" customFormat="1" ht="23.25" customHeight="1">
      <c r="A2" s="33" t="s">
        <v>252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5</v>
      </c>
      <c r="B4" s="16">
        <f>14.5/2</f>
        <v>7.25</v>
      </c>
      <c r="C4" s="16">
        <f aca="true" t="shared" si="0" ref="C4:C14">B4*0.95</f>
        <v>6.887499999999999</v>
      </c>
      <c r="D4" s="16">
        <f>B4/$B$18*$D$18</f>
        <v>0.396325959827104</v>
      </c>
      <c r="E4" s="17">
        <f>(C4+D4)*$E$1</f>
        <v>302.5701303712179</v>
      </c>
      <c r="F4" s="18"/>
      <c r="G4" s="19">
        <f>E4-F4</f>
        <v>302.5701303712179</v>
      </c>
      <c r="H4" s="22">
        <v>302</v>
      </c>
      <c r="I4" s="21">
        <f>H4-G4+F4</f>
        <v>-0.5701303712178856</v>
      </c>
    </row>
    <row r="5" spans="1:9" s="8" customFormat="1" ht="15">
      <c r="A5" s="4" t="s">
        <v>30</v>
      </c>
      <c r="B5" s="16">
        <f>14.5/2</f>
        <v>7.25</v>
      </c>
      <c r="C5" s="16">
        <f>B5*0.95</f>
        <v>6.887499999999999</v>
      </c>
      <c r="D5" s="16">
        <f aca="true" t="shared" si="1" ref="D5:D17">B5/$B$18*$D$18</f>
        <v>0.396325959827104</v>
      </c>
      <c r="E5" s="17">
        <f>(C5+D5)*$E$1</f>
        <v>302.5701303712179</v>
      </c>
      <c r="F5" s="18"/>
      <c r="G5" s="19">
        <f>E5-F5</f>
        <v>302.5701303712179</v>
      </c>
      <c r="H5" s="22">
        <v>302</v>
      </c>
      <c r="I5" s="21">
        <f>H5-G5+F5</f>
        <v>-0.5701303712178856</v>
      </c>
    </row>
    <row r="6" spans="1:9" s="8" customFormat="1" ht="15">
      <c r="A6" s="4" t="s">
        <v>95</v>
      </c>
      <c r="B6" s="16">
        <v>26.4</v>
      </c>
      <c r="C6" s="16">
        <f>B6*0.95</f>
        <v>25.08</v>
      </c>
      <c r="D6" s="16">
        <f t="shared" si="1"/>
        <v>1.4431731502669716</v>
      </c>
      <c r="E6" s="17">
        <f>(C6+D6)*$E$1</f>
        <v>1101.7726126620898</v>
      </c>
      <c r="F6" s="18"/>
      <c r="G6" s="19">
        <f>E6-F6</f>
        <v>1101.7726126620898</v>
      </c>
      <c r="H6" s="22">
        <f>820+280</f>
        <v>1100</v>
      </c>
      <c r="I6" s="21">
        <f>H6-G6+F6</f>
        <v>-1.7726126620898413</v>
      </c>
    </row>
    <row r="7" spans="1:9" s="8" customFormat="1" ht="15">
      <c r="A7" s="4" t="s">
        <v>114</v>
      </c>
      <c r="B7" s="16">
        <v>48.9</v>
      </c>
      <c r="C7" s="16">
        <f t="shared" si="0"/>
        <v>46.455</v>
      </c>
      <c r="D7" s="16">
        <f t="shared" si="1"/>
        <v>2.673150266971777</v>
      </c>
      <c r="E7" s="17">
        <f aca="true" t="shared" si="2" ref="E7:E14">(C7+D7)*$E$1</f>
        <v>2040.7833620900074</v>
      </c>
      <c r="F7" s="18"/>
      <c r="G7" s="19">
        <f aca="true" t="shared" si="3" ref="G7:G14">E7-F7</f>
        <v>2040.7833620900074</v>
      </c>
      <c r="H7" s="22">
        <v>2040</v>
      </c>
      <c r="I7" s="21">
        <f aca="true" t="shared" si="4" ref="I7:I14">H7-G7+F7</f>
        <v>-0.7833620900073583</v>
      </c>
    </row>
    <row r="8" spans="1:9" s="8" customFormat="1" ht="15">
      <c r="A8" s="4" t="s">
        <v>134</v>
      </c>
      <c r="B8" s="16">
        <v>44.6</v>
      </c>
      <c r="C8" s="16">
        <f t="shared" si="0"/>
        <v>42.37</v>
      </c>
      <c r="D8" s="16">
        <f t="shared" si="1"/>
        <v>2.438087973557081</v>
      </c>
      <c r="E8" s="17">
        <f t="shared" si="2"/>
        <v>1861.327974421561</v>
      </c>
      <c r="F8" s="18"/>
      <c r="G8" s="19">
        <f t="shared" si="3"/>
        <v>1861.327974421561</v>
      </c>
      <c r="H8" s="22">
        <v>1857</v>
      </c>
      <c r="I8" s="21">
        <f t="shared" si="4"/>
        <v>-4.327974421561066</v>
      </c>
    </row>
    <row r="9" spans="1:9" s="8" customFormat="1" ht="15">
      <c r="A9" s="4" t="s">
        <v>157</v>
      </c>
      <c r="B9" s="16">
        <v>53.8</v>
      </c>
      <c r="C9" s="16">
        <f>B9*0.95</f>
        <v>51.10999999999999</v>
      </c>
      <c r="D9" s="16">
        <f t="shared" si="1"/>
        <v>2.941011950165268</v>
      </c>
      <c r="E9" s="17">
        <f t="shared" si="2"/>
        <v>2245.279036409865</v>
      </c>
      <c r="F9" s="18"/>
      <c r="G9" s="19">
        <f t="shared" si="3"/>
        <v>2245.279036409865</v>
      </c>
      <c r="H9" s="22">
        <v>2240</v>
      </c>
      <c r="I9" s="21">
        <f t="shared" si="4"/>
        <v>-5.279036409865057</v>
      </c>
    </row>
    <row r="10" spans="1:10" s="8" customFormat="1" ht="15">
      <c r="A10" s="4" t="s">
        <v>129</v>
      </c>
      <c r="B10" s="16">
        <v>31.9</v>
      </c>
      <c r="C10" s="16">
        <f>B10*0.95</f>
        <v>30.304999999999996</v>
      </c>
      <c r="D10" s="16">
        <f>B10/$B$18*$D$18</f>
        <v>1.7438342232392574</v>
      </c>
      <c r="E10" s="17">
        <f>(C10+D10)*$E$1</f>
        <v>1331.3085736333585</v>
      </c>
      <c r="F10" s="18"/>
      <c r="G10" s="19">
        <f>E10-F10</f>
        <v>1331.3085736333585</v>
      </c>
      <c r="H10" s="22">
        <v>1400</v>
      </c>
      <c r="I10" s="21">
        <f>H10-G10+F10-10</f>
        <v>58.69142636664151</v>
      </c>
      <c r="J10" s="8" t="s">
        <v>264</v>
      </c>
    </row>
    <row r="11" spans="1:9" s="8" customFormat="1" ht="15">
      <c r="A11" s="4" t="s">
        <v>131</v>
      </c>
      <c r="B11" s="16">
        <v>25.8</v>
      </c>
      <c r="C11" s="16">
        <f t="shared" si="0"/>
        <v>24.509999999999998</v>
      </c>
      <c r="D11" s="16">
        <f t="shared" si="1"/>
        <v>1.410373760488177</v>
      </c>
      <c r="E11" s="17">
        <f t="shared" si="2"/>
        <v>1076.732326010679</v>
      </c>
      <c r="F11" s="18"/>
      <c r="G11" s="19">
        <f t="shared" si="3"/>
        <v>1076.732326010679</v>
      </c>
      <c r="H11" s="22">
        <v>434</v>
      </c>
      <c r="I11" s="21">
        <f t="shared" si="4"/>
        <v>-642.7323260106789</v>
      </c>
    </row>
    <row r="12" spans="1:9" s="8" customFormat="1" ht="15">
      <c r="A12" s="4" t="s">
        <v>105</v>
      </c>
      <c r="B12" s="16">
        <v>5.5</v>
      </c>
      <c r="C12" s="16">
        <f t="shared" si="0"/>
        <v>5.225</v>
      </c>
      <c r="D12" s="16">
        <f t="shared" si="1"/>
        <v>0.3006610729722858</v>
      </c>
      <c r="E12" s="17">
        <f t="shared" si="2"/>
        <v>229.53596097126874</v>
      </c>
      <c r="F12" s="18"/>
      <c r="G12" s="19">
        <f t="shared" si="3"/>
        <v>229.53596097126874</v>
      </c>
      <c r="H12" s="22"/>
      <c r="I12" s="21">
        <f t="shared" si="4"/>
        <v>-229.53596097126874</v>
      </c>
    </row>
    <row r="13" spans="1:9" s="8" customFormat="1" ht="15">
      <c r="A13" s="4" t="s">
        <v>198</v>
      </c>
      <c r="B13" s="16">
        <v>16.05</v>
      </c>
      <c r="C13" s="16">
        <f t="shared" si="0"/>
        <v>15.2475</v>
      </c>
      <c r="D13" s="16">
        <f t="shared" si="1"/>
        <v>0.8773836765827613</v>
      </c>
      <c r="E13" s="17">
        <f t="shared" si="2"/>
        <v>669.827667925248</v>
      </c>
      <c r="F13" s="18"/>
      <c r="G13" s="19">
        <f t="shared" si="3"/>
        <v>669.827667925248</v>
      </c>
      <c r="H13" s="22">
        <v>668</v>
      </c>
      <c r="I13" s="21">
        <f t="shared" si="4"/>
        <v>-1.8276679252479653</v>
      </c>
    </row>
    <row r="14" spans="1:9" s="8" customFormat="1" ht="15">
      <c r="A14" s="4" t="s">
        <v>143</v>
      </c>
      <c r="B14" s="16">
        <v>21.4</v>
      </c>
      <c r="C14" s="16">
        <f t="shared" si="0"/>
        <v>20.33</v>
      </c>
      <c r="D14" s="16">
        <f t="shared" si="1"/>
        <v>1.1698449021103483</v>
      </c>
      <c r="E14" s="17">
        <f t="shared" si="2"/>
        <v>893.1035572336638</v>
      </c>
      <c r="F14" s="18"/>
      <c r="G14" s="19">
        <f t="shared" si="3"/>
        <v>893.1035572336638</v>
      </c>
      <c r="H14" s="22">
        <v>891</v>
      </c>
      <c r="I14" s="21">
        <f t="shared" si="4"/>
        <v>-2.1035572336637642</v>
      </c>
    </row>
    <row r="15" spans="1:9" s="8" customFormat="1" ht="15">
      <c r="A15" s="29" t="s">
        <v>56</v>
      </c>
      <c r="B15" s="16">
        <v>59.6</v>
      </c>
      <c r="C15" s="16">
        <f>B15*0.95</f>
        <v>56.62</v>
      </c>
      <c r="D15" s="16">
        <f>B15/$B$18*$D$18</f>
        <v>3.2580727180269515</v>
      </c>
      <c r="E15" s="17">
        <f>(C15+D15)*$E$1</f>
        <v>2487.3351407068394</v>
      </c>
      <c r="F15" s="18"/>
      <c r="G15" s="19">
        <f>E15-F15</f>
        <v>2487.3351407068394</v>
      </c>
      <c r="H15" s="22">
        <v>2481</v>
      </c>
      <c r="I15" s="21">
        <f>H15-G15+F15</f>
        <v>-6.335140706839411</v>
      </c>
    </row>
    <row r="16" spans="1:9" s="8" customFormat="1" ht="15">
      <c r="A16" s="29" t="s">
        <v>50</v>
      </c>
      <c r="B16" s="16">
        <v>21.1</v>
      </c>
      <c r="C16" s="16">
        <f>B16*0.95</f>
        <v>20.045</v>
      </c>
      <c r="D16" s="16">
        <f>B16/$B$18*$D$18</f>
        <v>1.153445207220951</v>
      </c>
      <c r="E16" s="17">
        <f>(C16+D16)*$E$1</f>
        <v>880.5834139079584</v>
      </c>
      <c r="F16" s="18"/>
      <c r="G16" s="19">
        <f>E16-F16</f>
        <v>880.5834139079584</v>
      </c>
      <c r="H16" s="22">
        <f>808+70</f>
        <v>878</v>
      </c>
      <c r="I16" s="21">
        <f>H16-G16+F16</f>
        <v>-2.583413907958402</v>
      </c>
    </row>
    <row r="17" spans="1:9" s="8" customFormat="1" ht="15">
      <c r="A17" s="29" t="s">
        <v>224</v>
      </c>
      <c r="B17" s="16">
        <v>23.75</v>
      </c>
      <c r="C17" s="16">
        <f>B17*0.95</f>
        <v>22.5625</v>
      </c>
      <c r="D17" s="16">
        <f t="shared" si="1"/>
        <v>1.2983091787439613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393.3</v>
      </c>
      <c r="C18" s="26">
        <f>SUM(C4:C17)</f>
        <v>373.635</v>
      </c>
      <c r="D18" s="26">
        <v>21.5</v>
      </c>
      <c r="E18" s="27"/>
      <c r="F18" s="28"/>
      <c r="G18" s="28"/>
      <c r="H18" s="28"/>
      <c r="I18" s="28"/>
    </row>
    <row r="21" ht="31.5">
      <c r="A21" s="50" t="s">
        <v>255</v>
      </c>
    </row>
    <row r="22" ht="31.5">
      <c r="A22" s="50" t="s">
        <v>256</v>
      </c>
    </row>
    <row r="23" s="51" customFormat="1" ht="31.5">
      <c r="A23" s="51" t="s">
        <v>134</v>
      </c>
    </row>
    <row r="24" spans="1:7" ht="15">
      <c r="A24" s="55"/>
      <c r="B24" s="55"/>
      <c r="C24" s="55"/>
      <c r="D24" s="55"/>
      <c r="E24" s="55"/>
      <c r="F24" s="64"/>
      <c r="G24" s="65" t="s">
        <v>265</v>
      </c>
    </row>
    <row r="25" s="51" customFormat="1" ht="31.5">
      <c r="A25" s="51" t="s">
        <v>157</v>
      </c>
    </row>
    <row r="26" spans="1:10" ht="15">
      <c r="A26" s="66"/>
      <c r="D26" s="54"/>
      <c r="E26" s="54"/>
      <c r="F26" s="62"/>
      <c r="G26" s="56" t="s">
        <v>266</v>
      </c>
      <c r="H26" s="8"/>
      <c r="I26" s="8"/>
      <c r="J26" s="8"/>
    </row>
    <row r="27" spans="1:10" ht="15">
      <c r="A27" s="66"/>
      <c r="D27" s="55"/>
      <c r="E27" s="55"/>
      <c r="F27" s="62"/>
      <c r="G27" s="59" t="s">
        <v>267</v>
      </c>
      <c r="H27" s="8"/>
      <c r="I27" s="8"/>
      <c r="J27" s="8"/>
    </row>
    <row r="28" s="51" customFormat="1" ht="31.5">
      <c r="A28" s="51" t="s">
        <v>198</v>
      </c>
    </row>
    <row r="29" spans="1:7" ht="15">
      <c r="A29" s="67" t="s">
        <v>268</v>
      </c>
      <c r="F29" s="57"/>
      <c r="G29" s="58" t="s">
        <v>269</v>
      </c>
    </row>
    <row r="30" spans="1:7" s="51" customFormat="1" ht="31.5">
      <c r="A30" s="51" t="s">
        <v>50</v>
      </c>
      <c r="G30" s="68"/>
    </row>
    <row r="31" spans="1:7" ht="15">
      <c r="A31" s="55"/>
      <c r="B31" s="55"/>
      <c r="C31" s="55"/>
      <c r="D31" s="55"/>
      <c r="E31" s="55"/>
      <c r="F31" s="64"/>
      <c r="G31" s="58" t="s">
        <v>270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205</v>
      </c>
      <c r="B1" s="10">
        <v>41410</v>
      </c>
      <c r="C1" s="10"/>
      <c r="D1" s="11" t="s">
        <v>206</v>
      </c>
      <c r="E1" s="12">
        <v>41.28</v>
      </c>
      <c r="G1" s="8" t="s">
        <v>207</v>
      </c>
    </row>
    <row r="2" s="8" customFormat="1" ht="23.25" customHeight="1">
      <c r="A2" s="33" t="s">
        <v>271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198</v>
      </c>
      <c r="B4" s="16">
        <v>26.4</v>
      </c>
      <c r="C4" s="16">
        <f>B4*0.95</f>
        <v>25.08</v>
      </c>
      <c r="D4" s="16">
        <f>B4/$B$19*$D$19</f>
        <v>1.2953876349362121</v>
      </c>
      <c r="E4" s="17">
        <f>(C4+D4)*$E$1</f>
        <v>1088.7760015701667</v>
      </c>
      <c r="F4" s="18"/>
      <c r="G4" s="19">
        <f>E4-F4</f>
        <v>1088.7760015701667</v>
      </c>
      <c r="H4" s="22">
        <v>1088</v>
      </c>
      <c r="I4" s="21">
        <f>H4-G4+F4</f>
        <v>-0.7760015701667271</v>
      </c>
    </row>
    <row r="5" spans="1:9" s="8" customFormat="1" ht="15">
      <c r="A5" s="4" t="s">
        <v>149</v>
      </c>
      <c r="B5" s="16">
        <v>27.4</v>
      </c>
      <c r="C5" s="16">
        <f aca="true" t="shared" si="0" ref="C5:C18">B5*0.95</f>
        <v>26.029999999999998</v>
      </c>
      <c r="D5" s="16">
        <f aca="true" t="shared" si="1" ref="D5:D18">B5/$B$19*$D$19</f>
        <v>1.3444553483807657</v>
      </c>
      <c r="E5" s="17">
        <f>(C5+D5)*$E$1</f>
        <v>1130.0175167811578</v>
      </c>
      <c r="F5" s="18"/>
      <c r="G5" s="19">
        <f>E5-F5</f>
        <v>1130.0175167811578</v>
      </c>
      <c r="H5" s="22">
        <v>1129</v>
      </c>
      <c r="I5" s="21">
        <f>H5-G5+F5</f>
        <v>-1.0175167811578376</v>
      </c>
    </row>
    <row r="6" spans="1:9" s="8" customFormat="1" ht="15">
      <c r="A6" s="4" t="s">
        <v>105</v>
      </c>
      <c r="B6" s="16">
        <v>26.4</v>
      </c>
      <c r="C6" s="16">
        <f t="shared" si="0"/>
        <v>25.08</v>
      </c>
      <c r="D6" s="16">
        <f t="shared" si="1"/>
        <v>1.2953876349362121</v>
      </c>
      <c r="E6" s="17">
        <f>(C6+D6)*$E$1</f>
        <v>1088.7760015701667</v>
      </c>
      <c r="F6" s="18"/>
      <c r="G6" s="19">
        <f>E6-F6</f>
        <v>1088.7760015701667</v>
      </c>
      <c r="H6" s="22">
        <v>1318</v>
      </c>
      <c r="I6" s="21">
        <f>H6-G6+F6</f>
        <v>229.22399842983327</v>
      </c>
    </row>
    <row r="7" spans="1:9" s="8" customFormat="1" ht="15">
      <c r="A7" s="4" t="s">
        <v>84</v>
      </c>
      <c r="B7" s="16">
        <v>29.6</v>
      </c>
      <c r="C7" s="16">
        <f t="shared" si="0"/>
        <v>28.12</v>
      </c>
      <c r="D7" s="16">
        <f t="shared" si="1"/>
        <v>1.4524043179587833</v>
      </c>
      <c r="E7" s="17">
        <f aca="true" t="shared" si="2" ref="E7:E14">(C7+D7)*$E$1</f>
        <v>1220.7488502453386</v>
      </c>
      <c r="F7" s="18"/>
      <c r="G7" s="19">
        <f aca="true" t="shared" si="3" ref="G7:G14">E7-F7</f>
        <v>1220.7488502453386</v>
      </c>
      <c r="H7" s="22">
        <v>1214</v>
      </c>
      <c r="I7" s="21">
        <f aca="true" t="shared" si="4" ref="I7:I14">H7-G7+F7</f>
        <v>-6.7488502453386445</v>
      </c>
    </row>
    <row r="8" spans="1:9" s="8" customFormat="1" ht="15">
      <c r="A8" s="4" t="s">
        <v>66</v>
      </c>
      <c r="B8" s="16">
        <v>20.1</v>
      </c>
      <c r="C8" s="16">
        <f t="shared" si="0"/>
        <v>19.095</v>
      </c>
      <c r="D8" s="16">
        <f t="shared" si="1"/>
        <v>0.9862610402355254</v>
      </c>
      <c r="E8" s="17">
        <f t="shared" si="2"/>
        <v>828.9544557409225</v>
      </c>
      <c r="F8" s="18"/>
      <c r="G8" s="19">
        <f t="shared" si="3"/>
        <v>828.9544557409225</v>
      </c>
      <c r="H8" s="22">
        <v>828</v>
      </c>
      <c r="I8" s="21">
        <f t="shared" si="4"/>
        <v>-0.9544557409225263</v>
      </c>
    </row>
    <row r="9" spans="1:9" s="8" customFormat="1" ht="15">
      <c r="A9" s="4" t="s">
        <v>189</v>
      </c>
      <c r="B9" s="16">
        <v>31.4</v>
      </c>
      <c r="C9" s="16">
        <f t="shared" si="0"/>
        <v>29.83</v>
      </c>
      <c r="D9" s="16">
        <f t="shared" si="1"/>
        <v>1.5407262021589796</v>
      </c>
      <c r="E9" s="17">
        <f t="shared" si="2"/>
        <v>1294.9835776251225</v>
      </c>
      <c r="F9" s="18"/>
      <c r="G9" s="19">
        <f t="shared" si="3"/>
        <v>1294.9835776251225</v>
      </c>
      <c r="H9" s="22">
        <v>1293</v>
      </c>
      <c r="I9" s="21">
        <f t="shared" si="4"/>
        <v>-1.983577625122507</v>
      </c>
    </row>
    <row r="10" spans="1:9" s="8" customFormat="1" ht="15">
      <c r="A10" s="4" t="s">
        <v>70</v>
      </c>
      <c r="B10" s="16">
        <v>56.2</v>
      </c>
      <c r="C10" s="16">
        <f t="shared" si="0"/>
        <v>53.39</v>
      </c>
      <c r="D10" s="16">
        <f>B10/$B$19*$D$19</f>
        <v>2.757605495583906</v>
      </c>
      <c r="E10" s="17">
        <f>(C10+D10)*$E$1</f>
        <v>2317.7731548577035</v>
      </c>
      <c r="F10" s="18"/>
      <c r="G10" s="19">
        <f>E10-F10</f>
        <v>2317.7731548577035</v>
      </c>
      <c r="H10" s="22">
        <v>2315</v>
      </c>
      <c r="I10" s="21">
        <f>H10-G10+F10</f>
        <v>-2.773154857703503</v>
      </c>
    </row>
    <row r="11" spans="1:9" s="8" customFormat="1" ht="15">
      <c r="A11" s="4" t="s">
        <v>9</v>
      </c>
      <c r="B11" s="16">
        <v>27.8</v>
      </c>
      <c r="C11" s="16">
        <f t="shared" si="0"/>
        <v>26.41</v>
      </c>
      <c r="D11" s="16">
        <f t="shared" si="1"/>
        <v>1.364082433758587</v>
      </c>
      <c r="E11" s="17">
        <f t="shared" si="2"/>
        <v>1146.5141228655546</v>
      </c>
      <c r="F11" s="18"/>
      <c r="G11" s="19">
        <f t="shared" si="3"/>
        <v>1146.5141228655546</v>
      </c>
      <c r="H11" s="22">
        <v>1145</v>
      </c>
      <c r="I11" s="21">
        <f t="shared" si="4"/>
        <v>-1.5141228655545547</v>
      </c>
    </row>
    <row r="12" spans="1:9" s="8" customFormat="1" ht="15">
      <c r="A12" s="4" t="s">
        <v>61</v>
      </c>
      <c r="B12" s="16">
        <v>36.2</v>
      </c>
      <c r="C12" s="16">
        <f t="shared" si="0"/>
        <v>34.39</v>
      </c>
      <c r="D12" s="16">
        <f t="shared" si="1"/>
        <v>1.7762512266928365</v>
      </c>
      <c r="E12" s="17">
        <f t="shared" si="2"/>
        <v>1492.9428506378804</v>
      </c>
      <c r="F12" s="18"/>
      <c r="G12" s="19">
        <f t="shared" si="3"/>
        <v>1492.9428506378804</v>
      </c>
      <c r="H12" s="22">
        <f>510+90+910</f>
        <v>1510</v>
      </c>
      <c r="I12" s="21">
        <f t="shared" si="4"/>
        <v>17.057149362119617</v>
      </c>
    </row>
    <row r="13" spans="1:9" s="8" customFormat="1" ht="15">
      <c r="A13" s="4" t="s">
        <v>203</v>
      </c>
      <c r="B13" s="16">
        <v>9.9</v>
      </c>
      <c r="C13" s="16">
        <f t="shared" si="0"/>
        <v>9.405</v>
      </c>
      <c r="D13" s="16">
        <f t="shared" si="1"/>
        <v>0.48577036310107957</v>
      </c>
      <c r="E13" s="17">
        <f t="shared" si="2"/>
        <v>408.2910005888126</v>
      </c>
      <c r="F13" s="18"/>
      <c r="G13" s="19">
        <f t="shared" si="3"/>
        <v>408.2910005888126</v>
      </c>
      <c r="H13" s="22">
        <v>415</v>
      </c>
      <c r="I13" s="21">
        <f t="shared" si="4"/>
        <v>6.708999411187392</v>
      </c>
    </row>
    <row r="14" spans="1:9" s="8" customFormat="1" ht="15">
      <c r="A14" s="4" t="s">
        <v>175</v>
      </c>
      <c r="B14" s="16">
        <v>13.9</v>
      </c>
      <c r="C14" s="16">
        <f t="shared" si="0"/>
        <v>13.205</v>
      </c>
      <c r="D14" s="16">
        <f t="shared" si="1"/>
        <v>0.6820412168792935</v>
      </c>
      <c r="E14" s="17">
        <f t="shared" si="2"/>
        <v>573.2570614327773</v>
      </c>
      <c r="F14" s="18"/>
      <c r="G14" s="19">
        <f t="shared" si="3"/>
        <v>573.2570614327773</v>
      </c>
      <c r="H14" s="22">
        <v>573</v>
      </c>
      <c r="I14" s="21">
        <f t="shared" si="4"/>
        <v>-0.25706143277727733</v>
      </c>
    </row>
    <row r="15" spans="1:9" s="8" customFormat="1" ht="15">
      <c r="A15" s="29" t="s">
        <v>7</v>
      </c>
      <c r="B15" s="16">
        <v>24.95</v>
      </c>
      <c r="C15" s="16">
        <f t="shared" si="0"/>
        <v>23.702499999999997</v>
      </c>
      <c r="D15" s="16">
        <f>B15/$B$19*$D$19</f>
        <v>1.2242394504416096</v>
      </c>
      <c r="E15" s="17">
        <f>(C15+D15)*$E$1</f>
        <v>1028.9758045142296</v>
      </c>
      <c r="F15" s="18"/>
      <c r="G15" s="19">
        <f>E15-F15</f>
        <v>1028.9758045142296</v>
      </c>
      <c r="H15" s="22">
        <v>1027</v>
      </c>
      <c r="I15" s="21">
        <f>H15-G15+F15</f>
        <v>-1.9758045142295941</v>
      </c>
    </row>
    <row r="16" spans="1:9" s="8" customFormat="1" ht="15">
      <c r="A16" s="29" t="s">
        <v>6</v>
      </c>
      <c r="B16" s="16">
        <v>79.7</v>
      </c>
      <c r="C16" s="16">
        <f t="shared" si="0"/>
        <v>75.715</v>
      </c>
      <c r="D16" s="16">
        <f>B16/$B$19*$D$19</f>
        <v>3.9106967615309136</v>
      </c>
      <c r="E16" s="17">
        <f>(C16+D16)*$E$1</f>
        <v>3286.948762315996</v>
      </c>
      <c r="F16" s="18"/>
      <c r="G16" s="19">
        <f>E16-F16</f>
        <v>3286.948762315996</v>
      </c>
      <c r="H16" s="22">
        <v>3300</v>
      </c>
      <c r="I16" s="21">
        <f>H16-G16+F16</f>
        <v>13.051237684003809</v>
      </c>
    </row>
    <row r="17" spans="1:9" s="8" customFormat="1" ht="15">
      <c r="A17" s="29" t="s">
        <v>236</v>
      </c>
      <c r="B17" s="16">
        <v>12.9</v>
      </c>
      <c r="C17" s="16">
        <f t="shared" si="0"/>
        <v>12.254999999999999</v>
      </c>
      <c r="D17" s="16">
        <f t="shared" si="1"/>
        <v>0.63297350343474</v>
      </c>
      <c r="E17" s="17">
        <f>(C17+D17)*$E$1</f>
        <v>532.015546221786</v>
      </c>
      <c r="F17" s="18"/>
      <c r="G17" s="19">
        <f>E17-F17</f>
        <v>532.015546221786</v>
      </c>
      <c r="H17" s="22">
        <v>519</v>
      </c>
      <c r="I17" s="21">
        <f>H17-G17+F17</f>
        <v>-13.015546221786053</v>
      </c>
    </row>
    <row r="18" spans="1:9" s="8" customFormat="1" ht="15">
      <c r="A18" s="7" t="s">
        <v>224</v>
      </c>
      <c r="B18" s="16">
        <v>35.7</v>
      </c>
      <c r="C18" s="16">
        <f t="shared" si="0"/>
        <v>33.915</v>
      </c>
      <c r="D18" s="16">
        <f t="shared" si="1"/>
        <v>1.75171736997056</v>
      </c>
      <c r="E18" s="27"/>
      <c r="F18" s="28"/>
      <c r="G18" s="28"/>
      <c r="H18" s="28"/>
      <c r="I18" s="28"/>
    </row>
    <row r="19" spans="1:9" s="8" customFormat="1" ht="15">
      <c r="A19" s="25"/>
      <c r="B19" s="26">
        <f>SUM(B4:B18)</f>
        <v>458.5499999999999</v>
      </c>
      <c r="C19" s="26">
        <f>SUM(C4:C18)</f>
        <v>435.6225</v>
      </c>
      <c r="D19" s="26">
        <v>22.5</v>
      </c>
      <c r="E19" s="27"/>
      <c r="F19" s="28"/>
      <c r="G19" s="28"/>
      <c r="H19" s="28"/>
      <c r="I19" s="28"/>
    </row>
    <row r="21" s="69" customFormat="1" ht="31.5">
      <c r="A21" s="50"/>
    </row>
    <row r="22" s="69" customFormat="1" ht="31.5">
      <c r="A22" s="50"/>
    </row>
    <row r="23" s="69" customFormat="1" ht="31.5"/>
    <row r="25" ht="31.5">
      <c r="A25" s="50" t="s">
        <v>255</v>
      </c>
    </row>
    <row r="26" ht="31.5">
      <c r="A26" s="50" t="s">
        <v>256</v>
      </c>
    </row>
    <row r="27" spans="1:10" ht="31.5">
      <c r="A27" s="51" t="s">
        <v>9</v>
      </c>
      <c r="B27" s="70"/>
      <c r="C27" s="52"/>
      <c r="D27" s="52"/>
      <c r="E27" s="52"/>
      <c r="G27" s="8"/>
      <c r="H27" s="8"/>
      <c r="I27" s="8"/>
      <c r="J27" s="8"/>
    </row>
    <row r="28" spans="1:6" ht="15">
      <c r="A28" s="55"/>
      <c r="B28" s="55"/>
      <c r="C28" s="55"/>
      <c r="D28" s="55"/>
      <c r="E28" s="64"/>
      <c r="F28" s="58" t="s">
        <v>272</v>
      </c>
    </row>
    <row r="29" spans="1:10" ht="31.5">
      <c r="A29" s="51" t="s">
        <v>6</v>
      </c>
      <c r="B29" s="70"/>
      <c r="C29" s="52"/>
      <c r="D29" s="52"/>
      <c r="E29" s="52"/>
      <c r="G29" s="8"/>
      <c r="H29" s="8"/>
      <c r="I29" s="8"/>
      <c r="J29" s="8"/>
    </row>
    <row r="30" spans="1:10" ht="15">
      <c r="A30" s="66"/>
      <c r="C30" s="55"/>
      <c r="D30" s="71"/>
      <c r="E30" s="62"/>
      <c r="F30" s="58" t="s">
        <v>273</v>
      </c>
      <c r="G30" s="8"/>
      <c r="H30" s="8"/>
      <c r="I30" s="8"/>
      <c r="J30" s="8"/>
    </row>
    <row r="31" s="51" customFormat="1" ht="31.5">
      <c r="A31" s="51" t="s">
        <v>236</v>
      </c>
    </row>
    <row r="32" spans="1:6" ht="15">
      <c r="A32" s="55"/>
      <c r="B32" s="55"/>
      <c r="C32" s="55"/>
      <c r="D32" s="55"/>
      <c r="E32" s="57"/>
      <c r="F32" s="58" t="s">
        <v>262</v>
      </c>
    </row>
    <row r="33" s="51" customFormat="1" ht="31.5">
      <c r="A33" s="51" t="s">
        <v>72</v>
      </c>
    </row>
    <row r="34" spans="1:6" ht="15">
      <c r="A34" s="55"/>
      <c r="B34" s="55"/>
      <c r="C34" s="55"/>
      <c r="D34" s="55"/>
      <c r="E34" s="64"/>
      <c r="F34" s="58" t="s">
        <v>263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205</v>
      </c>
      <c r="B1" s="10">
        <v>41425</v>
      </c>
      <c r="C1" s="10"/>
      <c r="D1" s="11" t="s">
        <v>206</v>
      </c>
      <c r="E1" s="12">
        <v>42.24</v>
      </c>
      <c r="G1" s="8" t="s">
        <v>207</v>
      </c>
    </row>
    <row r="2" s="8" customFormat="1" ht="23.25" customHeight="1">
      <c r="A2" s="33" t="s">
        <v>274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64</v>
      </c>
      <c r="B4" s="16">
        <v>8.5</v>
      </c>
      <c r="C4" s="16">
        <f>B4*0.95</f>
        <v>8.075</v>
      </c>
      <c r="D4" s="16">
        <f aca="true" t="shared" si="0" ref="D4:D17">B4/$B$18*$D$18</f>
        <v>0.504883843717001</v>
      </c>
      <c r="E4" s="17">
        <f>(C4+D4)*$E$1</f>
        <v>362.4142935586061</v>
      </c>
      <c r="F4" s="18"/>
      <c r="G4" s="19">
        <f>E4-F4</f>
        <v>362.4142935586061</v>
      </c>
      <c r="H4" s="22">
        <v>359</v>
      </c>
      <c r="I4" s="21">
        <f>H4-G4+F4</f>
        <v>-3.4142935586061185</v>
      </c>
    </row>
    <row r="5" spans="1:9" s="8" customFormat="1" ht="15">
      <c r="A5" s="4" t="s">
        <v>198</v>
      </c>
      <c r="B5" s="16">
        <v>6.5</v>
      </c>
      <c r="C5" s="16">
        <f aca="true" t="shared" si="1" ref="C5:C17">B5*0.95</f>
        <v>6.175</v>
      </c>
      <c r="D5" s="16">
        <f t="shared" si="0"/>
        <v>0.38608764519535377</v>
      </c>
      <c r="E5" s="17">
        <f>(C5+D5)*$E$1</f>
        <v>277.1403421330518</v>
      </c>
      <c r="F5" s="18"/>
      <c r="G5" s="19">
        <f>E5-F5</f>
        <v>277.1403421330518</v>
      </c>
      <c r="H5" s="22">
        <v>274</v>
      </c>
      <c r="I5" s="21">
        <f>H5-G5+F5</f>
        <v>-3.1403421330517745</v>
      </c>
    </row>
    <row r="6" spans="1:9" s="8" customFormat="1" ht="15">
      <c r="A6" s="4" t="s">
        <v>176</v>
      </c>
      <c r="B6" s="16">
        <v>7.9</v>
      </c>
      <c r="C6" s="16">
        <f t="shared" si="1"/>
        <v>7.505</v>
      </c>
      <c r="D6" s="16">
        <f t="shared" si="0"/>
        <v>0.46924498416050686</v>
      </c>
      <c r="E6" s="17">
        <f>(C6+D6)*$E$1</f>
        <v>336.8321081309398</v>
      </c>
      <c r="F6" s="18"/>
      <c r="G6" s="19">
        <f>E6-F6</f>
        <v>336.8321081309398</v>
      </c>
      <c r="H6" s="22">
        <v>339</v>
      </c>
      <c r="I6" s="21">
        <f>H6-G6+F6</f>
        <v>2.167891869060213</v>
      </c>
    </row>
    <row r="7" spans="1:9" s="8" customFormat="1" ht="15">
      <c r="A7" s="4" t="s">
        <v>275</v>
      </c>
      <c r="B7" s="16">
        <v>33.3</v>
      </c>
      <c r="C7" s="16">
        <f t="shared" si="1"/>
        <v>31.634999999999994</v>
      </c>
      <c r="D7" s="16">
        <f t="shared" si="0"/>
        <v>1.9779567053854274</v>
      </c>
      <c r="E7" s="17">
        <f aca="true" t="shared" si="2" ref="E7:E14">(C7+D7)*$E$1</f>
        <v>1419.8112912354802</v>
      </c>
      <c r="F7" s="18"/>
      <c r="G7" s="19">
        <f aca="true" t="shared" si="3" ref="G7:G14">E7-F7</f>
        <v>1419.8112912354802</v>
      </c>
      <c r="H7" s="22">
        <v>1500</v>
      </c>
      <c r="I7" s="21">
        <f aca="true" t="shared" si="4" ref="I7:I14">H7-G7+F7</f>
        <v>80.18870876451979</v>
      </c>
    </row>
    <row r="8" spans="1:9" s="8" customFormat="1" ht="15">
      <c r="A8" s="4" t="s">
        <v>9</v>
      </c>
      <c r="B8" s="16">
        <v>16.4</v>
      </c>
      <c r="C8" s="16">
        <f t="shared" si="1"/>
        <v>15.579999999999998</v>
      </c>
      <c r="D8" s="16">
        <f t="shared" si="0"/>
        <v>0.9741288278775079</v>
      </c>
      <c r="E8" s="17">
        <f t="shared" si="2"/>
        <v>699.2464016895459</v>
      </c>
      <c r="F8" s="18"/>
      <c r="G8" s="19">
        <f t="shared" si="3"/>
        <v>699.2464016895459</v>
      </c>
      <c r="H8" s="22">
        <v>700</v>
      </c>
      <c r="I8" s="21">
        <f t="shared" si="4"/>
        <v>0.7535983104540946</v>
      </c>
    </row>
    <row r="9" spans="1:9" s="8" customFormat="1" ht="15">
      <c r="A9" s="4" t="s">
        <v>61</v>
      </c>
      <c r="B9" s="16">
        <v>84.9</v>
      </c>
      <c r="C9" s="16">
        <f t="shared" si="1"/>
        <v>80.655</v>
      </c>
      <c r="D9" s="16">
        <f t="shared" si="0"/>
        <v>5.042898627243928</v>
      </c>
      <c r="E9" s="17">
        <f t="shared" si="2"/>
        <v>3619.879238014784</v>
      </c>
      <c r="F9" s="18"/>
      <c r="G9" s="19">
        <f t="shared" si="3"/>
        <v>3619.879238014784</v>
      </c>
      <c r="H9" s="22">
        <f>400+3181</f>
        <v>3581</v>
      </c>
      <c r="I9" s="21">
        <f t="shared" si="4"/>
        <v>-38.87923801478382</v>
      </c>
    </row>
    <row r="10" spans="1:9" s="8" customFormat="1" ht="15">
      <c r="A10" s="4" t="s">
        <v>276</v>
      </c>
      <c r="B10" s="16">
        <v>15.5</v>
      </c>
      <c r="C10" s="16">
        <f t="shared" si="1"/>
        <v>14.725</v>
      </c>
      <c r="D10" s="16">
        <f t="shared" si="0"/>
        <v>0.9206705385427666</v>
      </c>
      <c r="E10" s="17">
        <f>(C10+D10)*$E$1</f>
        <v>660.8731235480465</v>
      </c>
      <c r="F10" s="18"/>
      <c r="G10" s="19">
        <f>E10-F10</f>
        <v>660.8731235480465</v>
      </c>
      <c r="H10" s="22">
        <f>600+63</f>
        <v>663</v>
      </c>
      <c r="I10" s="21">
        <f>H10-G10+F10</f>
        <v>2.1268764519535353</v>
      </c>
    </row>
    <row r="11" spans="1:9" s="8" customFormat="1" ht="15">
      <c r="A11" s="4" t="s">
        <v>95</v>
      </c>
      <c r="B11" s="16">
        <v>24.4</v>
      </c>
      <c r="C11" s="16">
        <f t="shared" si="1"/>
        <v>23.179999999999996</v>
      </c>
      <c r="D11" s="16">
        <f t="shared" si="0"/>
        <v>1.4493136219640972</v>
      </c>
      <c r="E11" s="17">
        <f t="shared" si="2"/>
        <v>1040.3422073917634</v>
      </c>
      <c r="F11" s="18"/>
      <c r="G11" s="19">
        <f t="shared" si="3"/>
        <v>1040.3422073917634</v>
      </c>
      <c r="H11" s="22">
        <v>1040</v>
      </c>
      <c r="I11" s="21">
        <f t="shared" si="4"/>
        <v>-0.3422073917633952</v>
      </c>
    </row>
    <row r="12" spans="1:9" s="8" customFormat="1" ht="15">
      <c r="A12" s="4" t="s">
        <v>163</v>
      </c>
      <c r="B12" s="16">
        <v>13.9</v>
      </c>
      <c r="C12" s="16">
        <f t="shared" si="1"/>
        <v>13.205</v>
      </c>
      <c r="D12" s="16">
        <f t="shared" si="0"/>
        <v>0.8256335797254487</v>
      </c>
      <c r="E12" s="17">
        <f t="shared" si="2"/>
        <v>592.653962407603</v>
      </c>
      <c r="F12" s="18"/>
      <c r="G12" s="19">
        <f t="shared" si="3"/>
        <v>592.653962407603</v>
      </c>
      <c r="H12" s="22">
        <v>586</v>
      </c>
      <c r="I12" s="21">
        <f t="shared" si="4"/>
        <v>-6.6539624076029895</v>
      </c>
    </row>
    <row r="13" spans="1:9" s="8" customFormat="1" ht="15">
      <c r="A13" s="4" t="s">
        <v>94</v>
      </c>
      <c r="B13" s="16">
        <v>15</v>
      </c>
      <c r="C13" s="16">
        <f t="shared" si="1"/>
        <v>14.25</v>
      </c>
      <c r="D13" s="16">
        <f t="shared" si="0"/>
        <v>0.8909714889123548</v>
      </c>
      <c r="E13" s="17">
        <f t="shared" si="2"/>
        <v>639.5546356916578</v>
      </c>
      <c r="F13" s="18"/>
      <c r="G13" s="19">
        <f t="shared" si="3"/>
        <v>639.5546356916578</v>
      </c>
      <c r="H13" s="22">
        <v>633</v>
      </c>
      <c r="I13" s="21">
        <f t="shared" si="4"/>
        <v>-6.554635691657836</v>
      </c>
    </row>
    <row r="14" spans="1:9" s="8" customFormat="1" ht="15">
      <c r="A14" s="4" t="s">
        <v>78</v>
      </c>
      <c r="B14" s="16">
        <v>21.4</v>
      </c>
      <c r="C14" s="16">
        <f t="shared" si="1"/>
        <v>20.33</v>
      </c>
      <c r="D14" s="16">
        <f t="shared" si="0"/>
        <v>1.271119324181626</v>
      </c>
      <c r="E14" s="17">
        <f t="shared" si="2"/>
        <v>912.4312802534319</v>
      </c>
      <c r="F14" s="18"/>
      <c r="G14" s="19">
        <f t="shared" si="3"/>
        <v>912.4312802534319</v>
      </c>
      <c r="H14" s="22">
        <f>903+9</f>
        <v>912</v>
      </c>
      <c r="I14" s="21">
        <f t="shared" si="4"/>
        <v>-0.4312802534318507</v>
      </c>
    </row>
    <row r="15" spans="1:9" s="8" customFormat="1" ht="15">
      <c r="A15" s="29" t="s">
        <v>7</v>
      </c>
      <c r="B15" s="16">
        <v>21.4</v>
      </c>
      <c r="C15" s="16">
        <f t="shared" si="1"/>
        <v>20.33</v>
      </c>
      <c r="D15" s="16">
        <f t="shared" si="0"/>
        <v>1.271119324181626</v>
      </c>
      <c r="E15" s="17">
        <f>(C15+D15)*$E$1</f>
        <v>912.4312802534319</v>
      </c>
      <c r="F15" s="18"/>
      <c r="G15" s="19">
        <f>E15-F15</f>
        <v>912.4312802534319</v>
      </c>
      <c r="H15" s="22">
        <f>903+11</f>
        <v>914</v>
      </c>
      <c r="I15" s="21">
        <f>H15-G15+F15</f>
        <v>1.5687197465681493</v>
      </c>
    </row>
    <row r="16" spans="1:9" s="8" customFormat="1" ht="15">
      <c r="A16" s="29" t="s">
        <v>174</v>
      </c>
      <c r="B16" s="16">
        <v>72</v>
      </c>
      <c r="C16" s="16">
        <f t="shared" si="1"/>
        <v>68.39999999999999</v>
      </c>
      <c r="D16" s="16">
        <f t="shared" si="0"/>
        <v>4.276663146779303</v>
      </c>
      <c r="E16" s="17">
        <f>(C16+D16)*$E$1</f>
        <v>3069.8622513199575</v>
      </c>
      <c r="F16" s="18"/>
      <c r="G16" s="19">
        <f>E16-F16</f>
        <v>3069.8622513199575</v>
      </c>
      <c r="H16" s="22">
        <v>3037</v>
      </c>
      <c r="I16" s="21">
        <f>H16-G16+F16</f>
        <v>-32.86225131995752</v>
      </c>
    </row>
    <row r="17" spans="1:9" s="8" customFormat="1" ht="15">
      <c r="A17" s="7" t="s">
        <v>224</v>
      </c>
      <c r="B17" s="16">
        <v>37.7</v>
      </c>
      <c r="C17" s="16">
        <f t="shared" si="1"/>
        <v>35.815</v>
      </c>
      <c r="D17" s="16">
        <f t="shared" si="0"/>
        <v>2.239308342133052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378.8</v>
      </c>
      <c r="C18" s="26">
        <f>SUM(C4:C17)</f>
        <v>359.85999999999996</v>
      </c>
      <c r="D18" s="26">
        <v>22.5</v>
      </c>
      <c r="E18" s="27"/>
      <c r="F18" s="28"/>
      <c r="G18" s="28"/>
      <c r="H18" s="28"/>
      <c r="I18" s="28"/>
    </row>
    <row r="20" s="69" customFormat="1" ht="31.5">
      <c r="A20" s="50" t="s">
        <v>277</v>
      </c>
    </row>
    <row r="21" s="69" customFormat="1" ht="31.5">
      <c r="A21" s="50"/>
    </row>
    <row r="23" ht="31.5">
      <c r="A23" s="50" t="s">
        <v>255</v>
      </c>
    </row>
    <row r="24" ht="31.5">
      <c r="A24" s="50" t="s">
        <v>256</v>
      </c>
    </row>
    <row r="25" spans="1:6" s="51" customFormat="1" ht="31.5">
      <c r="A25" s="51" t="s">
        <v>275</v>
      </c>
      <c r="F25" s="68"/>
    </row>
    <row r="26" spans="1:6" ht="15">
      <c r="A26" s="55"/>
      <c r="B26" s="55"/>
      <c r="C26" s="55"/>
      <c r="D26" s="55"/>
      <c r="E26" s="64"/>
      <c r="F26" s="58" t="s">
        <v>278</v>
      </c>
    </row>
    <row r="27" spans="1:6" ht="15">
      <c r="A27" s="55"/>
      <c r="B27" s="55"/>
      <c r="C27" s="55"/>
      <c r="D27" s="55"/>
      <c r="E27" s="64"/>
      <c r="F27" s="58" t="s">
        <v>279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8" customWidth="1"/>
    <col min="2" max="2" width="15.7109375" style="8" customWidth="1"/>
    <col min="3" max="3" width="17.140625" style="8" customWidth="1"/>
    <col min="4" max="4" width="15.7109375" style="8" customWidth="1"/>
    <col min="5" max="5" width="12.421875" style="8" customWidth="1"/>
    <col min="6" max="6" width="16.7109375" style="8" customWidth="1"/>
    <col min="7" max="7" width="18.00390625" style="8" customWidth="1"/>
    <col min="8" max="8" width="19.28125" style="8" customWidth="1"/>
    <col min="9" max="9" width="16.5742187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205</v>
      </c>
      <c r="B1" s="10">
        <v>41214</v>
      </c>
      <c r="C1" s="10"/>
      <c r="D1" s="11" t="s">
        <v>206</v>
      </c>
      <c r="E1" s="12">
        <f>41.18</f>
        <v>41.18</v>
      </c>
      <c r="F1" s="8" t="s">
        <v>207</v>
      </c>
    </row>
    <row r="2" ht="23.25" customHeight="1"/>
    <row r="3" spans="1:9" s="15" customFormat="1" ht="30" customHeight="1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15" customFormat="1" ht="15">
      <c r="A4" s="4" t="s">
        <v>217</v>
      </c>
      <c r="B4" s="16">
        <v>15.9</v>
      </c>
      <c r="C4" s="16">
        <f>B4*0.95</f>
        <v>15.105</v>
      </c>
      <c r="D4" s="16">
        <f>B4/$B$14*$D$14</f>
        <v>1.2100884955752214</v>
      </c>
      <c r="E4" s="17">
        <f>(C4+D4)*$E$1</f>
        <v>671.8553442477876</v>
      </c>
      <c r="F4" s="18"/>
      <c r="G4" s="19">
        <f>E4-F4</f>
        <v>671.8553442477876</v>
      </c>
      <c r="H4" s="20">
        <f>750-76</f>
        <v>674</v>
      </c>
      <c r="I4" s="21">
        <f>H4-G4</f>
        <v>2.1446557522124294</v>
      </c>
    </row>
    <row r="5" spans="1:10" ht="15">
      <c r="A5" s="4" t="s">
        <v>49</v>
      </c>
      <c r="B5" s="16">
        <v>64.10000000000001</v>
      </c>
      <c r="C5" s="16">
        <f aca="true" t="shared" si="0" ref="C5:C13">B5*0.95</f>
        <v>60.895</v>
      </c>
      <c r="D5" s="16">
        <f aca="true" t="shared" si="1" ref="D5:D12">B5/$B$14*$D$14</f>
        <v>4.878407079646018</v>
      </c>
      <c r="E5" s="17">
        <f aca="true" t="shared" si="2" ref="E5:E13">(C5+D5)*$E$1</f>
        <v>2708.548903539823</v>
      </c>
      <c r="F5" s="18">
        <v>107</v>
      </c>
      <c r="G5" s="19">
        <f>E5-F5</f>
        <v>2601.548903539823</v>
      </c>
      <c r="H5" s="22">
        <f>2600-202</f>
        <v>2398</v>
      </c>
      <c r="I5" s="23">
        <f>H5-G5+F5+97</f>
        <v>0.4510964601768137</v>
      </c>
      <c r="J5" s="8" t="s">
        <v>218</v>
      </c>
    </row>
    <row r="6" spans="1:9" ht="15">
      <c r="A6" s="4" t="s">
        <v>163</v>
      </c>
      <c r="B6" s="16">
        <v>30.799999999999997</v>
      </c>
      <c r="C6" s="16">
        <f t="shared" si="0"/>
        <v>29.259999999999994</v>
      </c>
      <c r="D6" s="16">
        <f t="shared" si="1"/>
        <v>2.344070796460177</v>
      </c>
      <c r="E6" s="17">
        <f t="shared" si="2"/>
        <v>1301.4556353982298</v>
      </c>
      <c r="F6" s="18"/>
      <c r="G6" s="19">
        <f aca="true" t="shared" si="3" ref="G6:G13">E6-F6</f>
        <v>1301.4556353982298</v>
      </c>
      <c r="H6" s="22">
        <f>1297+4</f>
        <v>1301</v>
      </c>
      <c r="I6" s="23">
        <f aca="true" t="shared" si="4" ref="I6:I13">H6-G6</f>
        <v>-0.4556353982297878</v>
      </c>
    </row>
    <row r="7" spans="1:9" ht="15">
      <c r="A7" s="4" t="s">
        <v>176</v>
      </c>
      <c r="B7" s="16">
        <v>10.9</v>
      </c>
      <c r="C7" s="16">
        <f t="shared" si="0"/>
        <v>10.355</v>
      </c>
      <c r="D7" s="16">
        <f t="shared" si="1"/>
        <v>0.8295575221238939</v>
      </c>
      <c r="E7" s="17">
        <f t="shared" si="2"/>
        <v>460.58007876106194</v>
      </c>
      <c r="F7" s="18"/>
      <c r="G7" s="19">
        <f t="shared" si="3"/>
        <v>460.58007876106194</v>
      </c>
      <c r="H7" s="22">
        <v>480</v>
      </c>
      <c r="I7" s="21">
        <f t="shared" si="4"/>
        <v>19.41992123893806</v>
      </c>
    </row>
    <row r="8" spans="1:9" ht="15">
      <c r="A8" s="4" t="s">
        <v>143</v>
      </c>
      <c r="B8" s="16">
        <v>17.9</v>
      </c>
      <c r="C8" s="16">
        <f t="shared" si="0"/>
        <v>17.005</v>
      </c>
      <c r="D8" s="16">
        <f t="shared" si="1"/>
        <v>1.362300884955752</v>
      </c>
      <c r="E8" s="17">
        <f t="shared" si="2"/>
        <v>756.3654504424778</v>
      </c>
      <c r="F8" s="18"/>
      <c r="G8" s="19">
        <f t="shared" si="3"/>
        <v>756.3654504424778</v>
      </c>
      <c r="H8" s="24">
        <v>756</v>
      </c>
      <c r="I8" s="23">
        <f t="shared" si="4"/>
        <v>-0.36545044247782243</v>
      </c>
    </row>
    <row r="9" spans="1:10" ht="15">
      <c r="A9" s="4" t="s">
        <v>195</v>
      </c>
      <c r="B9" s="16">
        <v>50.7</v>
      </c>
      <c r="C9" s="16">
        <f t="shared" si="0"/>
        <v>48.165</v>
      </c>
      <c r="D9" s="16">
        <f t="shared" si="1"/>
        <v>3.8585840707964607</v>
      </c>
      <c r="E9" s="17">
        <f t="shared" si="2"/>
        <v>2142.331192035398</v>
      </c>
      <c r="F9" s="18"/>
      <c r="G9" s="19">
        <f t="shared" si="3"/>
        <v>2142.331192035398</v>
      </c>
      <c r="H9" s="22">
        <v>2300</v>
      </c>
      <c r="I9" s="21">
        <f t="shared" si="4"/>
        <v>157.6688079646019</v>
      </c>
      <c r="J9" s="8" t="s">
        <v>219</v>
      </c>
    </row>
    <row r="10" spans="1:10" ht="15">
      <c r="A10" s="4" t="s">
        <v>88</v>
      </c>
      <c r="B10" s="16">
        <v>21.9</v>
      </c>
      <c r="C10" s="16">
        <f t="shared" si="0"/>
        <v>20.804999999999996</v>
      </c>
      <c r="D10" s="16">
        <f t="shared" si="1"/>
        <v>1.666725663716814</v>
      </c>
      <c r="E10" s="17">
        <f t="shared" si="2"/>
        <v>925.3856628318582</v>
      </c>
      <c r="F10" s="18"/>
      <c r="G10" s="19">
        <f t="shared" si="3"/>
        <v>925.3856628318582</v>
      </c>
      <c r="H10" s="22">
        <v>964</v>
      </c>
      <c r="I10" s="21">
        <f>H10-G10-39</f>
        <v>-0.3856628318582125</v>
      </c>
      <c r="J10" s="8" t="s">
        <v>220</v>
      </c>
    </row>
    <row r="11" spans="1:10" ht="15">
      <c r="A11" s="4" t="s">
        <v>175</v>
      </c>
      <c r="B11" s="16">
        <v>23.1</v>
      </c>
      <c r="C11" s="16">
        <f t="shared" si="0"/>
        <v>21.945</v>
      </c>
      <c r="D11" s="16">
        <f t="shared" si="1"/>
        <v>1.7580530973451327</v>
      </c>
      <c r="E11" s="17">
        <f t="shared" si="2"/>
        <v>976.0917265486726</v>
      </c>
      <c r="F11" s="18"/>
      <c r="G11" s="19">
        <f t="shared" si="3"/>
        <v>976.0917265486726</v>
      </c>
      <c r="H11" s="22">
        <v>1016</v>
      </c>
      <c r="I11" s="23">
        <f>H11-G11-40</f>
        <v>-0.09172654867256824</v>
      </c>
      <c r="J11" s="8" t="s">
        <v>221</v>
      </c>
    </row>
    <row r="12" spans="1:10" ht="15">
      <c r="A12" s="4" t="s">
        <v>42</v>
      </c>
      <c r="B12" s="16">
        <v>35.3</v>
      </c>
      <c r="C12" s="16">
        <f t="shared" si="0"/>
        <v>33.535</v>
      </c>
      <c r="D12" s="16">
        <f t="shared" si="1"/>
        <v>2.6865486725663716</v>
      </c>
      <c r="E12" s="17">
        <f t="shared" si="2"/>
        <v>1491.6033743362832</v>
      </c>
      <c r="F12" s="18"/>
      <c r="G12" s="19">
        <f t="shared" si="3"/>
        <v>1491.6033743362832</v>
      </c>
      <c r="H12" s="22">
        <v>1558</v>
      </c>
      <c r="I12" s="23">
        <f>H12-G12-66</f>
        <v>0.3966256637168044</v>
      </c>
      <c r="J12" s="8" t="s">
        <v>222</v>
      </c>
    </row>
    <row r="13" spans="1:9" ht="15">
      <c r="A13" s="4" t="s">
        <v>50</v>
      </c>
      <c r="B13" s="16">
        <v>11.9</v>
      </c>
      <c r="C13" s="16">
        <f t="shared" si="0"/>
        <v>11.305</v>
      </c>
      <c r="D13" s="16">
        <f>B13/$B$14*$D$14</f>
        <v>0.9056637168141594</v>
      </c>
      <c r="E13" s="17">
        <f t="shared" si="2"/>
        <v>502.83513185840707</v>
      </c>
      <c r="F13" s="18"/>
      <c r="G13" s="19">
        <f t="shared" si="3"/>
        <v>502.83513185840707</v>
      </c>
      <c r="H13" s="22">
        <v>501</v>
      </c>
      <c r="I13" s="21">
        <f t="shared" si="4"/>
        <v>-1.8351318584070668</v>
      </c>
    </row>
    <row r="14" spans="1:9" ht="15">
      <c r="A14" s="25"/>
      <c r="B14" s="26">
        <f>SUM(B4:B13)</f>
        <v>282.5</v>
      </c>
      <c r="C14" s="26">
        <f>SUM(C4:C13)</f>
        <v>268.375</v>
      </c>
      <c r="D14" s="26">
        <v>21.5</v>
      </c>
      <c r="E14" s="27">
        <f>B14*$E$1</f>
        <v>11633.35</v>
      </c>
      <c r="F14" s="28"/>
      <c r="G14" s="28"/>
      <c r="H14" s="28"/>
      <c r="I14" s="29"/>
    </row>
    <row r="16" ht="23.25">
      <c r="A16" s="30"/>
    </row>
    <row r="18" ht="15">
      <c r="A18" s="31"/>
    </row>
    <row r="19" ht="15">
      <c r="A19" s="31" t="s">
        <v>223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205</v>
      </c>
      <c r="B1" s="10">
        <v>41459</v>
      </c>
      <c r="C1" s="10"/>
      <c r="D1" s="11" t="s">
        <v>206</v>
      </c>
      <c r="E1" s="12">
        <v>43.98</v>
      </c>
      <c r="G1" s="8" t="s">
        <v>207</v>
      </c>
    </row>
    <row r="2" s="8" customFormat="1" ht="23.25" customHeight="1">
      <c r="A2" s="33" t="s">
        <v>280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236</v>
      </c>
      <c r="B4" s="16">
        <v>29.4</v>
      </c>
      <c r="C4" s="16">
        <f aca="true" t="shared" si="0" ref="C4:C9">B4*0.95</f>
        <v>27.929999999999996</v>
      </c>
      <c r="D4" s="16">
        <f aca="true" t="shared" si="1" ref="D4:D21">B4/$B$22*$D$22</f>
        <v>1.070388349514563</v>
      </c>
      <c r="E4" s="17">
        <f aca="true" t="shared" si="2" ref="E4:E10">(C4+D4)*$E$1</f>
        <v>1275.4370796116502</v>
      </c>
      <c r="F4" s="18"/>
      <c r="G4" s="19">
        <f aca="true" t="shared" si="3" ref="G4:G10">E4-F4</f>
        <v>1275.4370796116502</v>
      </c>
      <c r="H4" s="22">
        <v>1275</v>
      </c>
      <c r="I4" s="21">
        <f aca="true" t="shared" si="4" ref="I4:I9">H4-G4+F4</f>
        <v>-0.43707961165023335</v>
      </c>
    </row>
    <row r="5" spans="1:9" s="8" customFormat="1" ht="15">
      <c r="A5" s="4" t="s">
        <v>254</v>
      </c>
      <c r="B5" s="16">
        <v>38.7</v>
      </c>
      <c r="C5" s="16">
        <f t="shared" si="0"/>
        <v>36.765</v>
      </c>
      <c r="D5" s="16">
        <f t="shared" si="1"/>
        <v>1.408980582524272</v>
      </c>
      <c r="E5" s="17">
        <f t="shared" si="2"/>
        <v>1678.8916660194175</v>
      </c>
      <c r="F5" s="18"/>
      <c r="G5" s="19">
        <f t="shared" si="3"/>
        <v>1678.8916660194175</v>
      </c>
      <c r="H5" s="22">
        <v>1682</v>
      </c>
      <c r="I5" s="21">
        <f t="shared" si="4"/>
        <v>3.108333980582529</v>
      </c>
    </row>
    <row r="6" spans="1:9" s="8" customFormat="1" ht="15">
      <c r="A6" s="4" t="s">
        <v>174</v>
      </c>
      <c r="B6" s="16">
        <v>5.5</v>
      </c>
      <c r="C6" s="16">
        <f t="shared" si="0"/>
        <v>5.225</v>
      </c>
      <c r="D6" s="16">
        <f t="shared" si="1"/>
        <v>0.20024271844660194</v>
      </c>
      <c r="E6" s="17">
        <f t="shared" si="2"/>
        <v>238.60217475728152</v>
      </c>
      <c r="F6" s="18"/>
      <c r="G6" s="19">
        <f t="shared" si="3"/>
        <v>238.60217475728152</v>
      </c>
      <c r="H6" s="22">
        <v>285</v>
      </c>
      <c r="I6" s="21">
        <f t="shared" si="4"/>
        <v>46.39782524271848</v>
      </c>
    </row>
    <row r="7" spans="1:9" s="8" customFormat="1" ht="15">
      <c r="A7" s="4" t="s">
        <v>166</v>
      </c>
      <c r="B7" s="16">
        <v>14.5</v>
      </c>
      <c r="C7" s="16">
        <f t="shared" si="0"/>
        <v>13.774999999999999</v>
      </c>
      <c r="D7" s="16">
        <f t="shared" si="1"/>
        <v>0.5279126213592232</v>
      </c>
      <c r="E7" s="17">
        <f t="shared" si="2"/>
        <v>629.0420970873785</v>
      </c>
      <c r="F7" s="18"/>
      <c r="G7" s="19">
        <f t="shared" si="3"/>
        <v>629.0420970873785</v>
      </c>
      <c r="H7" s="22">
        <v>629</v>
      </c>
      <c r="I7" s="21">
        <f t="shared" si="4"/>
        <v>-0.0420970873784654</v>
      </c>
    </row>
    <row r="8" spans="1:9" s="8" customFormat="1" ht="15">
      <c r="A8" s="4" t="s">
        <v>8</v>
      </c>
      <c r="B8" s="16">
        <v>29.4</v>
      </c>
      <c r="C8" s="16">
        <f t="shared" si="0"/>
        <v>27.929999999999996</v>
      </c>
      <c r="D8" s="16">
        <f t="shared" si="1"/>
        <v>1.070388349514563</v>
      </c>
      <c r="E8" s="17">
        <f t="shared" si="2"/>
        <v>1275.4370796116502</v>
      </c>
      <c r="F8" s="18"/>
      <c r="G8" s="19">
        <f t="shared" si="3"/>
        <v>1275.4370796116502</v>
      </c>
      <c r="H8" s="22">
        <v>1274</v>
      </c>
      <c r="I8" s="21">
        <f t="shared" si="4"/>
        <v>-1.4370796116502333</v>
      </c>
    </row>
    <row r="9" spans="1:9" s="8" customFormat="1" ht="15">
      <c r="A9" s="4" t="s">
        <v>281</v>
      </c>
      <c r="B9" s="16">
        <f>78.6</f>
        <v>78.6</v>
      </c>
      <c r="C9" s="16">
        <f t="shared" si="0"/>
        <v>74.66999999999999</v>
      </c>
      <c r="D9" s="16">
        <f t="shared" si="1"/>
        <v>2.861650485436893</v>
      </c>
      <c r="E9" s="17">
        <f t="shared" si="2"/>
        <v>3409.841988349514</v>
      </c>
      <c r="F9" s="18"/>
      <c r="G9" s="19">
        <f t="shared" si="3"/>
        <v>3409.841988349514</v>
      </c>
      <c r="H9" s="22">
        <f>2596+820</f>
        <v>3416</v>
      </c>
      <c r="I9" s="21">
        <f t="shared" si="4"/>
        <v>6.15801165048606</v>
      </c>
    </row>
    <row r="10" spans="1:10" s="8" customFormat="1" ht="15">
      <c r="A10" s="4" t="s">
        <v>133</v>
      </c>
      <c r="B10" s="16">
        <v>51.2</v>
      </c>
      <c r="C10" s="16">
        <f aca="true" t="shared" si="5" ref="C10:C21">B10*0.95</f>
        <v>48.64</v>
      </c>
      <c r="D10" s="16">
        <f t="shared" si="1"/>
        <v>1.8640776699029127</v>
      </c>
      <c r="E10" s="17">
        <f t="shared" si="2"/>
        <v>2221.16933592233</v>
      </c>
      <c r="F10" s="18"/>
      <c r="G10" s="19">
        <f t="shared" si="3"/>
        <v>2221.16933592233</v>
      </c>
      <c r="H10" s="22">
        <v>2219</v>
      </c>
      <c r="I10" s="21">
        <f>H10-G10+F10+2</f>
        <v>-0.16933592232999217</v>
      </c>
      <c r="J10" s="45" t="s">
        <v>282</v>
      </c>
    </row>
    <row r="11" spans="1:9" s="8" customFormat="1" ht="15">
      <c r="A11" s="4" t="s">
        <v>283</v>
      </c>
      <c r="B11" s="16">
        <v>8.9</v>
      </c>
      <c r="C11" s="16">
        <f t="shared" si="5"/>
        <v>8.455</v>
      </c>
      <c r="D11" s="16">
        <f t="shared" si="1"/>
        <v>0.32402912621359226</v>
      </c>
      <c r="E11" s="17">
        <f aca="true" t="shared" si="6" ref="E11:E18">(C11+D11)*$E$1</f>
        <v>386.10170097087376</v>
      </c>
      <c r="F11" s="18"/>
      <c r="G11" s="19">
        <f aca="true" t="shared" si="7" ref="G11:G18">E11-F11</f>
        <v>386.10170097087376</v>
      </c>
      <c r="H11" s="22">
        <v>392</v>
      </c>
      <c r="I11" s="21">
        <f aca="true" t="shared" si="8" ref="I11:I18">H11-G11+F11</f>
        <v>5.898299029126235</v>
      </c>
    </row>
    <row r="12" spans="1:9" s="8" customFormat="1" ht="15">
      <c r="A12" s="4" t="s">
        <v>96</v>
      </c>
      <c r="B12" s="16">
        <v>37.3</v>
      </c>
      <c r="C12" s="16">
        <f t="shared" si="5"/>
        <v>35.434999999999995</v>
      </c>
      <c r="D12" s="16">
        <f t="shared" si="1"/>
        <v>1.358009708737864</v>
      </c>
      <c r="E12" s="17">
        <f t="shared" si="6"/>
        <v>1618.1565669902907</v>
      </c>
      <c r="F12" s="18"/>
      <c r="G12" s="19">
        <f t="shared" si="7"/>
        <v>1618.1565669902907</v>
      </c>
      <c r="H12" s="22">
        <v>1617</v>
      </c>
      <c r="I12" s="21">
        <f t="shared" si="8"/>
        <v>-1.1565669902906848</v>
      </c>
    </row>
    <row r="13" spans="1:9" s="8" customFormat="1" ht="15">
      <c r="A13" s="4" t="s">
        <v>40</v>
      </c>
      <c r="B13" s="16">
        <v>20.8</v>
      </c>
      <c r="C13" s="16">
        <f t="shared" si="5"/>
        <v>19.759999999999998</v>
      </c>
      <c r="D13" s="16">
        <f t="shared" si="1"/>
        <v>0.7572815533980584</v>
      </c>
      <c r="E13" s="17">
        <f t="shared" si="6"/>
        <v>902.3500427184465</v>
      </c>
      <c r="F13" s="18"/>
      <c r="G13" s="19">
        <f t="shared" si="7"/>
        <v>902.3500427184465</v>
      </c>
      <c r="H13" s="22">
        <f>901+1</f>
        <v>902</v>
      </c>
      <c r="I13" s="21">
        <f t="shared" si="8"/>
        <v>-0.3500427184465025</v>
      </c>
    </row>
    <row r="14" spans="1:9" s="8" customFormat="1" ht="15">
      <c r="A14" s="4" t="s">
        <v>182</v>
      </c>
      <c r="B14" s="16">
        <v>6.9</v>
      </c>
      <c r="C14" s="16">
        <f t="shared" si="5"/>
        <v>6.555</v>
      </c>
      <c r="D14" s="16">
        <f t="shared" si="1"/>
        <v>0.2512135922330097</v>
      </c>
      <c r="E14" s="17">
        <f>(C14+D14)*$E$1</f>
        <v>299.33727378640776</v>
      </c>
      <c r="F14" s="18"/>
      <c r="G14" s="19">
        <f>E14-F14</f>
        <v>299.33727378640776</v>
      </c>
      <c r="H14" s="22">
        <v>299</v>
      </c>
      <c r="I14" s="21">
        <f>H14-G14+F14</f>
        <v>-0.3372737864077635</v>
      </c>
    </row>
    <row r="15" spans="1:9" s="8" customFormat="1" ht="15">
      <c r="A15" s="4" t="s">
        <v>127</v>
      </c>
      <c r="B15" s="16">
        <v>30.8</v>
      </c>
      <c r="C15" s="16">
        <f t="shared" si="5"/>
        <v>29.259999999999998</v>
      </c>
      <c r="D15" s="16">
        <f t="shared" si="1"/>
        <v>1.1213592233009708</v>
      </c>
      <c r="E15" s="17">
        <f t="shared" si="6"/>
        <v>1336.1721786407766</v>
      </c>
      <c r="F15" s="18"/>
      <c r="G15" s="19">
        <f t="shared" si="7"/>
        <v>1336.1721786407766</v>
      </c>
      <c r="H15" s="22">
        <v>1335</v>
      </c>
      <c r="I15" s="21">
        <f t="shared" si="8"/>
        <v>-1.1721786407765649</v>
      </c>
    </row>
    <row r="16" spans="1:9" s="8" customFormat="1" ht="15">
      <c r="A16" s="4" t="s">
        <v>82</v>
      </c>
      <c r="B16" s="16">
        <v>29.95</v>
      </c>
      <c r="C16" s="16">
        <f t="shared" si="5"/>
        <v>28.452499999999997</v>
      </c>
      <c r="D16" s="16">
        <f t="shared" si="1"/>
        <v>1.0904126213592233</v>
      </c>
      <c r="E16" s="17">
        <f t="shared" si="6"/>
        <v>1299.2972970873784</v>
      </c>
      <c r="F16" s="18"/>
      <c r="G16" s="19">
        <f t="shared" si="7"/>
        <v>1299.2972970873784</v>
      </c>
      <c r="H16" s="22">
        <v>1298</v>
      </c>
      <c r="I16" s="21">
        <f t="shared" si="8"/>
        <v>-1.2972970873784107</v>
      </c>
    </row>
    <row r="17" spans="1:9" s="8" customFormat="1" ht="15">
      <c r="A17" s="4" t="s">
        <v>284</v>
      </c>
      <c r="B17" s="16">
        <v>25.8</v>
      </c>
      <c r="C17" s="16">
        <f t="shared" si="5"/>
        <v>24.509999999999998</v>
      </c>
      <c r="D17" s="16">
        <f t="shared" si="1"/>
        <v>0.9393203883495147</v>
      </c>
      <c r="E17" s="17">
        <f t="shared" si="6"/>
        <v>1119.2611106796114</v>
      </c>
      <c r="F17" s="18"/>
      <c r="G17" s="19">
        <f t="shared" si="7"/>
        <v>1119.2611106796114</v>
      </c>
      <c r="H17" s="22">
        <v>1118</v>
      </c>
      <c r="I17" s="21">
        <f t="shared" si="8"/>
        <v>-1.26111067961142</v>
      </c>
    </row>
    <row r="18" spans="1:9" s="8" customFormat="1" ht="15">
      <c r="A18" s="4" t="s">
        <v>134</v>
      </c>
      <c r="B18" s="16">
        <v>46.7</v>
      </c>
      <c r="C18" s="16">
        <f t="shared" si="5"/>
        <v>44.365</v>
      </c>
      <c r="D18" s="16">
        <f t="shared" si="1"/>
        <v>1.700242718446602</v>
      </c>
      <c r="E18" s="17">
        <f t="shared" si="6"/>
        <v>2025.9493747572815</v>
      </c>
      <c r="F18" s="18"/>
      <c r="G18" s="19">
        <f t="shared" si="7"/>
        <v>2025.9493747572815</v>
      </c>
      <c r="H18" s="22">
        <v>2028</v>
      </c>
      <c r="I18" s="21">
        <f t="shared" si="8"/>
        <v>2.0506252427185245</v>
      </c>
    </row>
    <row r="19" spans="1:9" s="8" customFormat="1" ht="15">
      <c r="A19" s="4" t="s">
        <v>109</v>
      </c>
      <c r="B19" s="16">
        <v>32.8</v>
      </c>
      <c r="C19" s="16">
        <f t="shared" si="5"/>
        <v>31.159999999999997</v>
      </c>
      <c r="D19" s="16">
        <f t="shared" si="1"/>
        <v>1.1941747572815533</v>
      </c>
      <c r="E19" s="17">
        <f>(C19+D19)*$E$1</f>
        <v>1422.9366058252424</v>
      </c>
      <c r="F19" s="18"/>
      <c r="G19" s="19">
        <f>E19-F19</f>
        <v>1422.9366058252424</v>
      </c>
      <c r="H19" s="22">
        <v>1425</v>
      </c>
      <c r="I19" s="21">
        <f>H19-G19+F19</f>
        <v>2.0633941747576046</v>
      </c>
    </row>
    <row r="20" spans="1:9" s="8" customFormat="1" ht="15">
      <c r="A20" s="4" t="s">
        <v>275</v>
      </c>
      <c r="B20" s="16">
        <v>38.8</v>
      </c>
      <c r="C20" s="16">
        <f t="shared" si="5"/>
        <v>36.85999999999999</v>
      </c>
      <c r="D20" s="16">
        <f t="shared" si="1"/>
        <v>1.4126213592233008</v>
      </c>
      <c r="E20" s="17">
        <f>(C20+D20)*$E$1</f>
        <v>1683.2298873786403</v>
      </c>
      <c r="F20" s="18"/>
      <c r="G20" s="19">
        <f>E20-F20</f>
        <v>1683.2298873786403</v>
      </c>
      <c r="H20" s="22">
        <v>1682</v>
      </c>
      <c r="I20" s="21">
        <f>H20-G20+F20</f>
        <v>-1.229887378640342</v>
      </c>
    </row>
    <row r="21" spans="1:9" s="8" customFormat="1" ht="15">
      <c r="A21" s="7" t="s">
        <v>224</v>
      </c>
      <c r="B21" s="16">
        <f>91.95</f>
        <v>91.95</v>
      </c>
      <c r="C21" s="16">
        <f t="shared" si="5"/>
        <v>87.35249999999999</v>
      </c>
      <c r="D21" s="16">
        <f t="shared" si="1"/>
        <v>3.3476941747572813</v>
      </c>
      <c r="E21" s="27"/>
      <c r="F21" s="28"/>
      <c r="G21" s="28"/>
      <c r="H21" s="28"/>
      <c r="I21" s="28"/>
    </row>
    <row r="22" spans="1:9" s="8" customFormat="1" ht="15">
      <c r="A22" s="25"/>
      <c r="B22" s="26">
        <f>SUM(B4:B21)</f>
        <v>618</v>
      </c>
      <c r="C22" s="26">
        <f>SUM(C4:C21)</f>
        <v>587.0999999999999</v>
      </c>
      <c r="D22" s="26">
        <v>22.5</v>
      </c>
      <c r="E22" s="27"/>
      <c r="F22" s="28"/>
      <c r="G22" s="28"/>
      <c r="H22" s="28"/>
      <c r="I22" s="28"/>
    </row>
    <row r="25" ht="31.5">
      <c r="A25" s="50" t="s">
        <v>255</v>
      </c>
    </row>
    <row r="26" ht="31.5">
      <c r="A26" s="50" t="s">
        <v>256</v>
      </c>
    </row>
    <row r="27" spans="1:6" s="51" customFormat="1" ht="31.5">
      <c r="A27" s="51" t="s">
        <v>96</v>
      </c>
      <c r="F27" s="68"/>
    </row>
    <row r="28" spans="1:6" ht="15">
      <c r="A28" s="55"/>
      <c r="B28" s="55"/>
      <c r="C28" s="55"/>
      <c r="D28" s="55"/>
      <c r="E28" s="64"/>
      <c r="F28" s="58" t="s">
        <v>285</v>
      </c>
    </row>
    <row r="29" spans="1:6" ht="15">
      <c r="A29" s="55"/>
      <c r="B29" s="55"/>
      <c r="C29" s="55"/>
      <c r="D29" s="55"/>
      <c r="E29" s="64"/>
      <c r="F29" s="58" t="s">
        <v>286</v>
      </c>
    </row>
    <row r="30" spans="1:6" ht="31.5">
      <c r="A30" s="51" t="s">
        <v>287</v>
      </c>
      <c r="B30" s="51"/>
      <c r="C30" s="51"/>
      <c r="D30" s="51"/>
      <c r="E30" s="51"/>
      <c r="F30" s="68"/>
    </row>
    <row r="31" spans="1:6" ht="15">
      <c r="A31" s="72"/>
      <c r="B31" s="55"/>
      <c r="C31" s="55"/>
      <c r="D31" s="55"/>
      <c r="E31" s="62"/>
      <c r="F31" s="58" t="s">
        <v>288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8" customFormat="1" ht="21.75" customHeight="1">
      <c r="A1" s="9" t="s">
        <v>205</v>
      </c>
      <c r="B1" s="10">
        <v>41477</v>
      </c>
      <c r="C1" s="10"/>
      <c r="D1" s="11" t="s">
        <v>206</v>
      </c>
      <c r="E1" s="12">
        <v>43.43</v>
      </c>
      <c r="G1" s="8" t="s">
        <v>207</v>
      </c>
    </row>
    <row r="2" s="8" customFormat="1" ht="23.25" customHeight="1">
      <c r="A2" s="33" t="s">
        <v>289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96</v>
      </c>
      <c r="B4" s="16">
        <v>29.3</v>
      </c>
      <c r="C4" s="16">
        <f aca="true" t="shared" si="0" ref="C4:C17">B4*0.95</f>
        <v>27.835</v>
      </c>
      <c r="D4" s="16">
        <f aca="true" t="shared" si="1" ref="D4:D17">B4/$B$18*$D$18</f>
        <v>1.1157654226961158</v>
      </c>
      <c r="E4" s="17">
        <f aca="true" t="shared" si="2" ref="E4:E16">(C4+D4)*$E$1</f>
        <v>1257.3317423076924</v>
      </c>
      <c r="F4" s="18"/>
      <c r="G4" s="19">
        <f aca="true" t="shared" si="3" ref="G4:G16">E4-F4</f>
        <v>1257.3317423076924</v>
      </c>
      <c r="H4" s="22">
        <v>1258</v>
      </c>
      <c r="I4" s="21">
        <f aca="true" t="shared" si="4" ref="I4:I16">H4-G4+F4</f>
        <v>0.668257692307634</v>
      </c>
    </row>
    <row r="5" spans="1:9" s="8" customFormat="1" ht="15">
      <c r="A5" s="4" t="s">
        <v>6</v>
      </c>
      <c r="B5" s="16">
        <v>110.4</v>
      </c>
      <c r="C5" s="16">
        <f t="shared" si="0"/>
        <v>104.88</v>
      </c>
      <c r="D5" s="16">
        <f t="shared" si="1"/>
        <v>4.204112718964204</v>
      </c>
      <c r="E5" s="17">
        <f t="shared" si="2"/>
        <v>4737.523015384615</v>
      </c>
      <c r="F5" s="18"/>
      <c r="G5" s="19">
        <f t="shared" si="3"/>
        <v>4737.523015384615</v>
      </c>
      <c r="H5" s="22">
        <v>4750</v>
      </c>
      <c r="I5" s="21">
        <f t="shared" si="4"/>
        <v>12.476984615384936</v>
      </c>
    </row>
    <row r="6" spans="1:9" s="8" customFormat="1" ht="15">
      <c r="A6" s="4" t="s">
        <v>254</v>
      </c>
      <c r="B6" s="16">
        <v>56</v>
      </c>
      <c r="C6" s="16">
        <f t="shared" si="0"/>
        <v>53.199999999999996</v>
      </c>
      <c r="D6" s="16">
        <f t="shared" si="1"/>
        <v>2.1325209444021325</v>
      </c>
      <c r="E6" s="17">
        <f t="shared" si="2"/>
        <v>2403.0913846153844</v>
      </c>
      <c r="F6" s="18"/>
      <c r="G6" s="19">
        <f t="shared" si="3"/>
        <v>2403.0913846153844</v>
      </c>
      <c r="H6" s="22">
        <f>10+2395</f>
        <v>2405</v>
      </c>
      <c r="I6" s="21">
        <f t="shared" si="4"/>
        <v>1.9086153846155867</v>
      </c>
    </row>
    <row r="7" spans="1:9" s="8" customFormat="1" ht="15">
      <c r="A7" s="4" t="s">
        <v>217</v>
      </c>
      <c r="B7" s="16">
        <v>6.8</v>
      </c>
      <c r="C7" s="16">
        <f t="shared" si="0"/>
        <v>6.46</v>
      </c>
      <c r="D7" s="16">
        <f t="shared" si="1"/>
        <v>0.25894897182025894</v>
      </c>
      <c r="E7" s="17">
        <f t="shared" si="2"/>
        <v>291.80395384615383</v>
      </c>
      <c r="F7" s="18"/>
      <c r="G7" s="19">
        <f t="shared" si="3"/>
        <v>291.80395384615383</v>
      </c>
      <c r="H7" s="22">
        <v>300</v>
      </c>
      <c r="I7" s="21">
        <f t="shared" si="4"/>
        <v>8.196046153846169</v>
      </c>
    </row>
    <row r="8" spans="1:9" s="8" customFormat="1" ht="15">
      <c r="A8" s="4" t="s">
        <v>120</v>
      </c>
      <c r="B8" s="16">
        <v>16.4</v>
      </c>
      <c r="C8" s="16">
        <f t="shared" si="0"/>
        <v>15.579999999999998</v>
      </c>
      <c r="D8" s="16">
        <f t="shared" si="1"/>
        <v>0.6245239908606245</v>
      </c>
      <c r="E8" s="17">
        <f t="shared" si="2"/>
        <v>703.7624769230769</v>
      </c>
      <c r="F8" s="18"/>
      <c r="G8" s="19">
        <f t="shared" si="3"/>
        <v>703.7624769230769</v>
      </c>
      <c r="H8" s="22">
        <v>704</v>
      </c>
      <c r="I8" s="21">
        <f t="shared" si="4"/>
        <v>0.23752307692313934</v>
      </c>
    </row>
    <row r="9" spans="1:9" s="8" customFormat="1" ht="15">
      <c r="A9" s="4" t="s">
        <v>155</v>
      </c>
      <c r="B9" s="16">
        <v>25.7</v>
      </c>
      <c r="C9" s="16">
        <f t="shared" si="0"/>
        <v>24.415</v>
      </c>
      <c r="D9" s="16">
        <f t="shared" si="1"/>
        <v>0.9786747905559786</v>
      </c>
      <c r="E9" s="17">
        <f t="shared" si="2"/>
        <v>1102.8472961538462</v>
      </c>
      <c r="F9" s="18"/>
      <c r="G9" s="19">
        <f t="shared" si="3"/>
        <v>1102.8472961538462</v>
      </c>
      <c r="H9" s="22">
        <v>1103</v>
      </c>
      <c r="I9" s="21">
        <f t="shared" si="4"/>
        <v>0.15270384615382682</v>
      </c>
    </row>
    <row r="10" spans="1:9" s="8" customFormat="1" ht="15">
      <c r="A10" s="4" t="s">
        <v>61</v>
      </c>
      <c r="B10" s="16">
        <v>108.3</v>
      </c>
      <c r="C10" s="16">
        <f t="shared" si="0"/>
        <v>102.88499999999999</v>
      </c>
      <c r="D10" s="16">
        <f t="shared" si="1"/>
        <v>4.1241431835491245</v>
      </c>
      <c r="E10" s="17">
        <f t="shared" si="2"/>
        <v>4647.407088461538</v>
      </c>
      <c r="F10" s="18"/>
      <c r="G10" s="19">
        <f t="shared" si="3"/>
        <v>4647.407088461538</v>
      </c>
      <c r="H10" s="22">
        <f>4620+70</f>
        <v>4690</v>
      </c>
      <c r="I10" s="21">
        <f t="shared" si="4"/>
        <v>42.59291153846243</v>
      </c>
    </row>
    <row r="11" spans="1:9" s="8" customFormat="1" ht="15">
      <c r="A11" s="4" t="s">
        <v>50</v>
      </c>
      <c r="B11" s="16">
        <v>12.2</v>
      </c>
      <c r="C11" s="16">
        <f t="shared" si="0"/>
        <v>11.589999999999998</v>
      </c>
      <c r="D11" s="16">
        <f t="shared" si="1"/>
        <v>0.46458492003046453</v>
      </c>
      <c r="E11" s="17">
        <f t="shared" si="2"/>
        <v>523.530623076923</v>
      </c>
      <c r="F11" s="18"/>
      <c r="G11" s="19">
        <f t="shared" si="3"/>
        <v>523.530623076923</v>
      </c>
      <c r="H11" s="22">
        <v>524</v>
      </c>
      <c r="I11" s="21">
        <f t="shared" si="4"/>
        <v>0.4693769230769931</v>
      </c>
    </row>
    <row r="12" spans="1:9" s="8" customFormat="1" ht="15">
      <c r="A12" s="4" t="s">
        <v>76</v>
      </c>
      <c r="B12" s="16">
        <v>85.8</v>
      </c>
      <c r="C12" s="16">
        <f t="shared" si="0"/>
        <v>81.50999999999999</v>
      </c>
      <c r="D12" s="16">
        <f t="shared" si="1"/>
        <v>3.2673267326732667</v>
      </c>
      <c r="E12" s="17">
        <f t="shared" si="2"/>
        <v>3681.8792999999996</v>
      </c>
      <c r="F12" s="18"/>
      <c r="G12" s="19">
        <f t="shared" si="3"/>
        <v>3681.8792999999996</v>
      </c>
      <c r="H12" s="22">
        <v>3683</v>
      </c>
      <c r="I12" s="21">
        <f t="shared" si="4"/>
        <v>1.1207000000003973</v>
      </c>
    </row>
    <row r="13" spans="1:9" s="8" customFormat="1" ht="15">
      <c r="A13" s="4" t="s">
        <v>236</v>
      </c>
      <c r="B13" s="16">
        <v>25.8</v>
      </c>
      <c r="C13" s="16">
        <f t="shared" si="0"/>
        <v>24.509999999999998</v>
      </c>
      <c r="D13" s="16">
        <f t="shared" si="1"/>
        <v>0.9824828636709825</v>
      </c>
      <c r="E13" s="17">
        <f t="shared" si="2"/>
        <v>1107.1385307692306</v>
      </c>
      <c r="F13" s="18"/>
      <c r="G13" s="19">
        <f t="shared" si="3"/>
        <v>1107.1385307692306</v>
      </c>
      <c r="H13" s="22">
        <v>1108</v>
      </c>
      <c r="I13" s="21">
        <f t="shared" si="4"/>
        <v>0.861469230769444</v>
      </c>
    </row>
    <row r="14" spans="1:9" s="8" customFormat="1" ht="15">
      <c r="A14" s="4" t="s">
        <v>159</v>
      </c>
      <c r="B14" s="16">
        <v>31.8</v>
      </c>
      <c r="C14" s="16">
        <f t="shared" si="0"/>
        <v>30.21</v>
      </c>
      <c r="D14" s="16">
        <f t="shared" si="1"/>
        <v>1.210967250571211</v>
      </c>
      <c r="E14" s="17">
        <f>(C14+D14)*$E$1</f>
        <v>1364.6126076923078</v>
      </c>
      <c r="F14" s="18"/>
      <c r="G14" s="19">
        <f>E14-F14</f>
        <v>1364.6126076923078</v>
      </c>
      <c r="H14" s="22">
        <v>1366</v>
      </c>
      <c r="I14" s="21">
        <f>H14-G14+F14</f>
        <v>1.3873923076921528</v>
      </c>
    </row>
    <row r="15" spans="1:9" s="8" customFormat="1" ht="15">
      <c r="A15" s="4" t="s">
        <v>290</v>
      </c>
      <c r="B15" s="16">
        <v>43.15</v>
      </c>
      <c r="C15" s="16">
        <f t="shared" si="0"/>
        <v>40.9925</v>
      </c>
      <c r="D15" s="16">
        <f t="shared" si="1"/>
        <v>1.6431835491241429</v>
      </c>
      <c r="E15" s="17">
        <f t="shared" si="2"/>
        <v>1851.6677365384617</v>
      </c>
      <c r="F15" s="18"/>
      <c r="G15" s="19">
        <f t="shared" si="3"/>
        <v>1851.6677365384617</v>
      </c>
      <c r="H15" s="22">
        <v>1852</v>
      </c>
      <c r="I15" s="21">
        <f t="shared" si="4"/>
        <v>0.3322634615383322</v>
      </c>
    </row>
    <row r="16" spans="1:9" s="8" customFormat="1" ht="15">
      <c r="A16" s="4" t="s">
        <v>63</v>
      </c>
      <c r="B16" s="16">
        <v>4.3</v>
      </c>
      <c r="C16" s="16">
        <f t="shared" si="0"/>
        <v>4.085</v>
      </c>
      <c r="D16" s="16">
        <f t="shared" si="1"/>
        <v>0.16374714394516374</v>
      </c>
      <c r="E16" s="17">
        <f t="shared" si="2"/>
        <v>184.52308846153846</v>
      </c>
      <c r="F16" s="18"/>
      <c r="G16" s="19">
        <f t="shared" si="3"/>
        <v>184.52308846153846</v>
      </c>
      <c r="H16" s="22">
        <v>185</v>
      </c>
      <c r="I16" s="21">
        <f t="shared" si="4"/>
        <v>0.4769115384615361</v>
      </c>
    </row>
    <row r="17" spans="1:9" s="8" customFormat="1" ht="15">
      <c r="A17" s="7" t="s">
        <v>224</v>
      </c>
      <c r="B17" s="16">
        <v>34.9</v>
      </c>
      <c r="C17" s="16">
        <f t="shared" si="0"/>
        <v>33.154999999999994</v>
      </c>
      <c r="D17" s="16">
        <f t="shared" si="1"/>
        <v>1.329017517136329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590.85</v>
      </c>
      <c r="C18" s="26">
        <f>SUM(C4:C17)</f>
        <v>561.3074999999999</v>
      </c>
      <c r="D18" s="26">
        <v>22.5</v>
      </c>
      <c r="E18" s="27"/>
      <c r="F18" s="28"/>
      <c r="G18" s="28"/>
      <c r="H18" s="28"/>
      <c r="I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8" customFormat="1" ht="21.75" customHeight="1">
      <c r="A1" s="9" t="s">
        <v>205</v>
      </c>
      <c r="B1" s="10">
        <v>41498</v>
      </c>
      <c r="C1" s="10"/>
      <c r="D1" s="11" t="s">
        <v>206</v>
      </c>
      <c r="E1" s="12">
        <v>44.85</v>
      </c>
      <c r="G1" s="8" t="s">
        <v>207</v>
      </c>
    </row>
    <row r="2" s="8" customFormat="1" ht="23.25" customHeight="1">
      <c r="A2" s="33" t="s">
        <v>291</v>
      </c>
    </row>
    <row r="3" spans="1:7" s="15" customFormat="1" ht="45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61</v>
      </c>
      <c r="B4" s="16">
        <v>11.4</v>
      </c>
      <c r="C4" s="16">
        <f aca="true" t="shared" si="0" ref="C4:C18">B4/$B$19*$C$19</f>
        <v>0.6605717228946691</v>
      </c>
      <c r="D4" s="73">
        <f>B4+C4</f>
        <v>12.06057172289467</v>
      </c>
      <c r="E4" s="19">
        <f>D4*$E$1</f>
        <v>540.916641771826</v>
      </c>
      <c r="F4" s="22">
        <v>540</v>
      </c>
      <c r="G4" s="21">
        <f>F4-E4</f>
        <v>-0.9166417718259936</v>
      </c>
    </row>
    <row r="5" spans="1:7" s="8" customFormat="1" ht="15">
      <c r="A5" s="4" t="s">
        <v>49</v>
      </c>
      <c r="B5" s="16">
        <v>11.4</v>
      </c>
      <c r="C5" s="16">
        <f t="shared" si="0"/>
        <v>0.6605717228946691</v>
      </c>
      <c r="D5" s="73">
        <f aca="true" t="shared" si="1" ref="D5:D17">B5+C5</f>
        <v>12.06057172289467</v>
      </c>
      <c r="E5" s="19">
        <f aca="true" t="shared" si="2" ref="E5:E17">D5*$E$1</f>
        <v>540.916641771826</v>
      </c>
      <c r="F5" s="22">
        <v>543</v>
      </c>
      <c r="G5" s="21">
        <f aca="true" t="shared" si="3" ref="G5:G17">F5-E5</f>
        <v>2.0833582281740064</v>
      </c>
    </row>
    <row r="6" spans="1:7" s="8" customFormat="1" ht="15">
      <c r="A6" s="4" t="s">
        <v>102</v>
      </c>
      <c r="B6" s="16">
        <v>47.3</v>
      </c>
      <c r="C6" s="16">
        <f t="shared" si="0"/>
        <v>2.740793201133145</v>
      </c>
      <c r="D6" s="73">
        <f t="shared" si="1"/>
        <v>50.04079320113314</v>
      </c>
      <c r="E6" s="19">
        <f t="shared" si="2"/>
        <v>2244.3295750708216</v>
      </c>
      <c r="F6" s="22">
        <v>2248</v>
      </c>
      <c r="G6" s="21">
        <f t="shared" si="3"/>
        <v>3.6704249291783526</v>
      </c>
    </row>
    <row r="7" spans="1:7" s="8" customFormat="1" ht="15">
      <c r="A7" s="4" t="s">
        <v>20</v>
      </c>
      <c r="B7" s="16">
        <v>48.4</v>
      </c>
      <c r="C7" s="16">
        <f t="shared" si="0"/>
        <v>2.8045325779036827</v>
      </c>
      <c r="D7" s="73">
        <f t="shared" si="1"/>
        <v>51.204532577903684</v>
      </c>
      <c r="E7" s="19">
        <f t="shared" si="2"/>
        <v>2296.52328611898</v>
      </c>
      <c r="F7" s="22">
        <v>2300</v>
      </c>
      <c r="G7" s="21">
        <f t="shared" si="3"/>
        <v>3.476713881019805</v>
      </c>
    </row>
    <row r="8" spans="1:8" s="8" customFormat="1" ht="15">
      <c r="A8" s="4" t="s">
        <v>127</v>
      </c>
      <c r="B8" s="16">
        <v>53.8</v>
      </c>
      <c r="C8" s="16">
        <f t="shared" si="0"/>
        <v>3.1174349729590523</v>
      </c>
      <c r="D8" s="73">
        <f t="shared" si="1"/>
        <v>56.91743497295905</v>
      </c>
      <c r="E8" s="19">
        <f t="shared" si="2"/>
        <v>2552.7469585372137</v>
      </c>
      <c r="F8" s="22">
        <f>4850-2248</f>
        <v>2602</v>
      </c>
      <c r="G8" s="21">
        <f>F8-E8-48</f>
        <v>1.2530414627863138</v>
      </c>
      <c r="H8" s="31" t="s">
        <v>297</v>
      </c>
    </row>
    <row r="9" spans="1:7" s="8" customFormat="1" ht="15">
      <c r="A9" s="4" t="s">
        <v>298</v>
      </c>
      <c r="B9" s="16">
        <v>10.5</v>
      </c>
      <c r="C9" s="16">
        <f t="shared" si="0"/>
        <v>0.6084213237187742</v>
      </c>
      <c r="D9" s="73">
        <f t="shared" si="1"/>
        <v>11.108421323718774</v>
      </c>
      <c r="E9" s="19">
        <f t="shared" si="2"/>
        <v>498.212696368787</v>
      </c>
      <c r="F9" s="22">
        <v>500</v>
      </c>
      <c r="G9" s="21">
        <f t="shared" si="3"/>
        <v>1.7873036312129784</v>
      </c>
    </row>
    <row r="10" spans="1:7" s="8" customFormat="1" ht="15">
      <c r="A10" s="4" t="s">
        <v>254</v>
      </c>
      <c r="B10" s="16">
        <v>9.4</v>
      </c>
      <c r="C10" s="16">
        <f t="shared" si="0"/>
        <v>0.544681946948236</v>
      </c>
      <c r="D10" s="73">
        <f t="shared" si="1"/>
        <v>9.944681946948236</v>
      </c>
      <c r="E10" s="19">
        <f t="shared" si="2"/>
        <v>446.0189853206284</v>
      </c>
      <c r="F10" s="22">
        <v>446</v>
      </c>
      <c r="G10" s="21">
        <f t="shared" si="3"/>
        <v>-0.018985320628416957</v>
      </c>
    </row>
    <row r="11" spans="1:7" s="8" customFormat="1" ht="15">
      <c r="A11" s="4" t="s">
        <v>6</v>
      </c>
      <c r="B11" s="16">
        <v>53.6</v>
      </c>
      <c r="C11" s="16">
        <f t="shared" si="0"/>
        <v>3.1058459953644095</v>
      </c>
      <c r="D11" s="73">
        <f t="shared" si="1"/>
        <v>56.70584599536441</v>
      </c>
      <c r="E11" s="19">
        <f t="shared" si="2"/>
        <v>2543.257192892094</v>
      </c>
      <c r="F11" s="22">
        <v>2520</v>
      </c>
      <c r="G11" s="21">
        <f t="shared" si="3"/>
        <v>-23.257192892093826</v>
      </c>
    </row>
    <row r="12" spans="1:7" s="8" customFormat="1" ht="15">
      <c r="A12" s="4" t="s">
        <v>9</v>
      </c>
      <c r="B12" s="16">
        <v>10.9</v>
      </c>
      <c r="C12" s="16">
        <f t="shared" si="0"/>
        <v>0.6315992789080609</v>
      </c>
      <c r="D12" s="73">
        <f t="shared" si="1"/>
        <v>11.531599278908061</v>
      </c>
      <c r="E12" s="19">
        <f t="shared" si="2"/>
        <v>517.1922276590266</v>
      </c>
      <c r="F12" s="22">
        <v>520</v>
      </c>
      <c r="G12" s="21">
        <f t="shared" si="3"/>
        <v>2.807772340973429</v>
      </c>
    </row>
    <row r="13" spans="1:7" s="8" customFormat="1" ht="15">
      <c r="A13" s="4" t="s">
        <v>80</v>
      </c>
      <c r="B13" s="16">
        <v>9.75</v>
      </c>
      <c r="C13" s="16">
        <f t="shared" si="0"/>
        <v>0.5649626577388618</v>
      </c>
      <c r="D13" s="73">
        <f t="shared" si="1"/>
        <v>10.314962657738862</v>
      </c>
      <c r="E13" s="19">
        <f t="shared" si="2"/>
        <v>462.626075199588</v>
      </c>
      <c r="F13" s="22">
        <v>463</v>
      </c>
      <c r="G13" s="21">
        <f t="shared" si="3"/>
        <v>0.3739248004119986</v>
      </c>
    </row>
    <row r="14" spans="1:7" s="8" customFormat="1" ht="15">
      <c r="A14" s="4" t="s">
        <v>163</v>
      </c>
      <c r="B14" s="16">
        <v>23.4</v>
      </c>
      <c r="C14" s="16">
        <f t="shared" si="0"/>
        <v>1.3559103785732682</v>
      </c>
      <c r="D14" s="73">
        <f t="shared" si="1"/>
        <v>24.755910378573265</v>
      </c>
      <c r="E14" s="19">
        <f t="shared" si="2"/>
        <v>1110.3025804790109</v>
      </c>
      <c r="F14" s="22">
        <v>1118</v>
      </c>
      <c r="G14" s="21">
        <f t="shared" si="3"/>
        <v>7.697419520989115</v>
      </c>
    </row>
    <row r="15" spans="1:7" s="8" customFormat="1" ht="15">
      <c r="A15" s="4" t="s">
        <v>22</v>
      </c>
      <c r="B15" s="16">
        <v>20.8</v>
      </c>
      <c r="C15" s="16">
        <f t="shared" si="0"/>
        <v>1.205253669842905</v>
      </c>
      <c r="D15" s="73">
        <f t="shared" si="1"/>
        <v>22.005253669842904</v>
      </c>
      <c r="E15" s="19">
        <f t="shared" si="2"/>
        <v>986.9356270924543</v>
      </c>
      <c r="F15" s="22">
        <v>989</v>
      </c>
      <c r="G15" s="21">
        <f t="shared" si="3"/>
        <v>2.064372907545703</v>
      </c>
    </row>
    <row r="16" spans="1:7" s="8" customFormat="1" ht="15">
      <c r="A16" s="4" t="s">
        <v>181</v>
      </c>
      <c r="B16" s="16">
        <v>26.15</v>
      </c>
      <c r="C16" s="16">
        <f t="shared" si="0"/>
        <v>1.5152588204996138</v>
      </c>
      <c r="D16" s="73">
        <f t="shared" si="1"/>
        <v>27.665258820499613</v>
      </c>
      <c r="E16" s="19">
        <f t="shared" si="2"/>
        <v>1240.7868580994077</v>
      </c>
      <c r="F16" s="22">
        <v>1246</v>
      </c>
      <c r="G16" s="21">
        <f t="shared" si="3"/>
        <v>5.213141900592291</v>
      </c>
    </row>
    <row r="17" spans="1:7" s="8" customFormat="1" ht="15">
      <c r="A17" s="7" t="s">
        <v>14</v>
      </c>
      <c r="B17" s="16">
        <v>9.9</v>
      </c>
      <c r="C17" s="16">
        <f t="shared" si="0"/>
        <v>0.5736543909348443</v>
      </c>
      <c r="D17" s="73">
        <f t="shared" si="1"/>
        <v>10.473654390934845</v>
      </c>
      <c r="E17" s="19">
        <f t="shared" si="2"/>
        <v>469.74339943342784</v>
      </c>
      <c r="F17" s="22">
        <v>471</v>
      </c>
      <c r="G17" s="21">
        <f t="shared" si="3"/>
        <v>1.2566005665721605</v>
      </c>
    </row>
    <row r="18" spans="1:7" s="8" customFormat="1" ht="15">
      <c r="A18" s="7" t="s">
        <v>224</v>
      </c>
      <c r="B18" s="16">
        <v>41.6</v>
      </c>
      <c r="C18" s="16">
        <f t="shared" si="0"/>
        <v>2.41050733968581</v>
      </c>
      <c r="D18" s="27"/>
      <c r="E18" s="28"/>
      <c r="F18" s="28"/>
      <c r="G18" s="28"/>
    </row>
    <row r="19" spans="1:7" s="8" customFormat="1" ht="15">
      <c r="A19" s="25"/>
      <c r="B19" s="26">
        <f>SUM(B4:B18)</f>
        <v>388.29999999999995</v>
      </c>
      <c r="C19" s="26">
        <v>22.5</v>
      </c>
      <c r="D19" s="27"/>
      <c r="E19" s="28"/>
      <c r="F19" s="28"/>
      <c r="G19" s="28"/>
    </row>
    <row r="24" ht="23.25">
      <c r="A24" s="74" t="s">
        <v>299</v>
      </c>
    </row>
    <row r="25" spans="1:6" s="78" customFormat="1" ht="31.5">
      <c r="A25" s="75" t="s">
        <v>6</v>
      </c>
      <c r="B25" s="76"/>
      <c r="C25" s="76"/>
      <c r="D25" s="76"/>
      <c r="E25" s="76"/>
      <c r="F25" s="77"/>
    </row>
    <row r="26" spans="1:9" ht="23.25">
      <c r="A26" s="79" t="s">
        <v>300</v>
      </c>
      <c r="B26" s="54"/>
      <c r="C26" s="54"/>
      <c r="D26" s="80"/>
      <c r="E26" s="81"/>
      <c r="F26" s="82"/>
      <c r="G26" s="8"/>
      <c r="H26" s="8"/>
      <c r="I26" s="8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8" customFormat="1" ht="21.75" customHeight="1">
      <c r="A1" s="9" t="s">
        <v>205</v>
      </c>
      <c r="B1" s="10">
        <v>41536</v>
      </c>
      <c r="C1" s="10"/>
      <c r="D1" s="11" t="s">
        <v>206</v>
      </c>
      <c r="E1" s="12">
        <v>43.86</v>
      </c>
      <c r="G1" s="8" t="s">
        <v>207</v>
      </c>
    </row>
    <row r="2" s="8" customFormat="1" ht="23.25" customHeight="1">
      <c r="A2" s="33" t="s">
        <v>301</v>
      </c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188</v>
      </c>
      <c r="B4" s="16">
        <v>8.5</v>
      </c>
      <c r="C4" s="16">
        <f aca="true" t="shared" si="0" ref="C4:C13">B4/$B$14*$C$14</f>
        <v>0.37749658851259144</v>
      </c>
      <c r="D4" s="73">
        <f>B4+C4</f>
        <v>8.877496588512592</v>
      </c>
      <c r="E4" s="19">
        <f>D4*$E$1</f>
        <v>389.3670003721623</v>
      </c>
      <c r="F4" s="22">
        <v>396</v>
      </c>
      <c r="G4" s="21">
        <f>F4-E4</f>
        <v>6.632999627837705</v>
      </c>
    </row>
    <row r="5" spans="1:7" s="8" customFormat="1" ht="15">
      <c r="A5" s="4" t="s">
        <v>61</v>
      </c>
      <c r="B5" s="16">
        <v>94.6</v>
      </c>
      <c r="C5" s="16">
        <f t="shared" si="0"/>
        <v>4.201314973328371</v>
      </c>
      <c r="D5" s="73">
        <f aca="true" t="shared" si="1" ref="D5:D12">B5+C5</f>
        <v>98.80131497332836</v>
      </c>
      <c r="E5" s="19">
        <f aca="true" t="shared" si="2" ref="E5:E12">D5*$E$1</f>
        <v>4333.4256747301815</v>
      </c>
      <c r="F5" s="22">
        <v>4340</v>
      </c>
      <c r="G5" s="21">
        <f aca="true" t="shared" si="3" ref="G5:G12">F5-E5</f>
        <v>6.574325269818473</v>
      </c>
    </row>
    <row r="6" spans="1:7" s="8" customFormat="1" ht="15">
      <c r="A6" s="4" t="s">
        <v>7</v>
      </c>
      <c r="B6" s="16">
        <v>7.5</v>
      </c>
      <c r="C6" s="16">
        <f t="shared" si="0"/>
        <v>0.3330852251581689</v>
      </c>
      <c r="D6" s="73">
        <f t="shared" si="1"/>
        <v>7.833085225158169</v>
      </c>
      <c r="E6" s="19">
        <f t="shared" si="2"/>
        <v>343.5591179754373</v>
      </c>
      <c r="F6" s="22">
        <v>346</v>
      </c>
      <c r="G6" s="21">
        <f t="shared" si="3"/>
        <v>2.440882024562711</v>
      </c>
    </row>
    <row r="7" spans="1:7" s="8" customFormat="1" ht="15">
      <c r="A7" s="4" t="s">
        <v>127</v>
      </c>
      <c r="B7" s="16">
        <v>32.2</v>
      </c>
      <c r="C7" s="16">
        <f t="shared" si="0"/>
        <v>1.4300459000124055</v>
      </c>
      <c r="D7" s="73">
        <f t="shared" si="1"/>
        <v>33.630045900012405</v>
      </c>
      <c r="E7" s="19">
        <f t="shared" si="2"/>
        <v>1475.013813174544</v>
      </c>
      <c r="F7" s="22">
        <v>1486</v>
      </c>
      <c r="G7" s="21">
        <f t="shared" si="3"/>
        <v>10.986186825455889</v>
      </c>
    </row>
    <row r="8" spans="1:8" s="8" customFormat="1" ht="15">
      <c r="A8" s="4" t="s">
        <v>102</v>
      </c>
      <c r="B8" s="16">
        <v>32.4</v>
      </c>
      <c r="C8" s="16">
        <f t="shared" si="0"/>
        <v>1.4389281726832899</v>
      </c>
      <c r="D8" s="73">
        <f t="shared" si="1"/>
        <v>33.83892817268329</v>
      </c>
      <c r="E8" s="19">
        <f t="shared" si="2"/>
        <v>1484.175389653889</v>
      </c>
      <c r="F8" s="22">
        <v>1500</v>
      </c>
      <c r="G8" s="21">
        <f>F8-E8</f>
        <v>15.824610346111058</v>
      </c>
      <c r="H8" s="31"/>
    </row>
    <row r="9" spans="1:7" s="8" customFormat="1" ht="15">
      <c r="A9" s="4" t="s">
        <v>254</v>
      </c>
      <c r="B9" s="16">
        <v>38.1</v>
      </c>
      <c r="C9" s="16">
        <f t="shared" si="0"/>
        <v>1.692072943803498</v>
      </c>
      <c r="D9" s="73">
        <f t="shared" si="1"/>
        <v>39.7920729438035</v>
      </c>
      <c r="E9" s="19">
        <f t="shared" si="2"/>
        <v>1745.2803193152213</v>
      </c>
      <c r="F9" s="22">
        <v>1748</v>
      </c>
      <c r="G9" s="21">
        <f t="shared" si="3"/>
        <v>2.719680684778723</v>
      </c>
    </row>
    <row r="10" spans="1:7" s="8" customFormat="1" ht="15">
      <c r="A10" s="4" t="s">
        <v>302</v>
      </c>
      <c r="B10" s="16">
        <v>22.5</v>
      </c>
      <c r="C10" s="16">
        <f t="shared" si="0"/>
        <v>0.9992556754745068</v>
      </c>
      <c r="D10" s="73">
        <f t="shared" si="1"/>
        <v>23.499255675474508</v>
      </c>
      <c r="E10" s="19">
        <f t="shared" si="2"/>
        <v>1030.677353926312</v>
      </c>
      <c r="F10" s="22">
        <v>1033</v>
      </c>
      <c r="G10" s="21">
        <f t="shared" si="3"/>
        <v>2.32264607368802</v>
      </c>
    </row>
    <row r="11" spans="1:7" s="8" customFormat="1" ht="15">
      <c r="A11" s="4" t="s">
        <v>163</v>
      </c>
      <c r="B11" s="16">
        <v>41.1</v>
      </c>
      <c r="C11" s="16">
        <f t="shared" si="0"/>
        <v>1.8253070338667658</v>
      </c>
      <c r="D11" s="73">
        <f t="shared" si="1"/>
        <v>42.925307033866765</v>
      </c>
      <c r="E11" s="19">
        <f t="shared" si="2"/>
        <v>1882.7039665053962</v>
      </c>
      <c r="F11" s="22">
        <v>1884</v>
      </c>
      <c r="G11" s="21">
        <f t="shared" si="3"/>
        <v>1.296033494603762</v>
      </c>
    </row>
    <row r="12" spans="1:7" s="8" customFormat="1" ht="15">
      <c r="A12" s="4" t="s">
        <v>76</v>
      </c>
      <c r="B12" s="16">
        <v>13.2</v>
      </c>
      <c r="C12" s="16">
        <f t="shared" si="0"/>
        <v>0.5862299962783772</v>
      </c>
      <c r="D12" s="73">
        <f t="shared" si="1"/>
        <v>13.786229996278376</v>
      </c>
      <c r="E12" s="19">
        <f t="shared" si="2"/>
        <v>604.6640476367695</v>
      </c>
      <c r="F12" s="22">
        <v>606</v>
      </c>
      <c r="G12" s="21">
        <f t="shared" si="3"/>
        <v>1.33595236323049</v>
      </c>
    </row>
    <row r="13" spans="1:7" s="8" customFormat="1" ht="15">
      <c r="A13" s="7" t="s">
        <v>224</v>
      </c>
      <c r="B13" s="16">
        <v>112.95</v>
      </c>
      <c r="C13" s="16">
        <f t="shared" si="0"/>
        <v>5.016263490882024</v>
      </c>
      <c r="D13" s="27"/>
      <c r="E13" s="28"/>
      <c r="F13" s="28"/>
      <c r="G13" s="28"/>
    </row>
    <row r="14" spans="1:7" s="8" customFormat="1" ht="15">
      <c r="A14" s="25"/>
      <c r="B14" s="26">
        <f>SUM(B4:B13)</f>
        <v>403.05</v>
      </c>
      <c r="C14" s="26">
        <v>17.9</v>
      </c>
      <c r="D14" s="27"/>
      <c r="E14" s="28"/>
      <c r="F14" s="28"/>
      <c r="G14" s="28"/>
    </row>
    <row r="15" ht="15">
      <c r="C15" s="8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8" customFormat="1" ht="21.75" customHeight="1">
      <c r="A1" s="9" t="s">
        <v>205</v>
      </c>
      <c r="B1" s="10">
        <v>41561</v>
      </c>
      <c r="C1" s="10"/>
      <c r="D1" s="11" t="s">
        <v>206</v>
      </c>
      <c r="E1" s="12">
        <v>44.58</v>
      </c>
      <c r="G1" s="8" t="s">
        <v>207</v>
      </c>
    </row>
    <row r="2" s="8" customFormat="1" ht="23.25" customHeight="1">
      <c r="A2" s="33" t="s">
        <v>303</v>
      </c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174</v>
      </c>
      <c r="B4" s="20">
        <v>78.8</v>
      </c>
      <c r="C4" s="20">
        <f aca="true" t="shared" si="0" ref="C4:C17">B4/$B$18*$C$18</f>
        <v>3.6283472668810286</v>
      </c>
      <c r="D4" s="84">
        <f>B4+C4</f>
        <v>82.42834726688102</v>
      </c>
      <c r="E4" s="19">
        <f>D4*$E$1</f>
        <v>3674.6557211575555</v>
      </c>
      <c r="F4" s="22">
        <v>3680</v>
      </c>
      <c r="G4" s="21">
        <f>F4-E4</f>
        <v>5.34427884244451</v>
      </c>
    </row>
    <row r="5" spans="1:7" s="8" customFormat="1" ht="15">
      <c r="A5" s="4" t="s">
        <v>123</v>
      </c>
      <c r="B5" s="20">
        <v>49.3</v>
      </c>
      <c r="C5" s="20">
        <f t="shared" si="0"/>
        <v>2.2700192926045015</v>
      </c>
      <c r="D5" s="84">
        <f aca="true" t="shared" si="1" ref="D5:D16">B5+C5</f>
        <v>51.5700192926045</v>
      </c>
      <c r="E5" s="19">
        <f aca="true" t="shared" si="2" ref="E5:E16">D5*$E$1</f>
        <v>2298.9914600643083</v>
      </c>
      <c r="F5" s="22">
        <f>1472+830</f>
        <v>2302</v>
      </c>
      <c r="G5" s="21">
        <f aca="true" t="shared" si="3" ref="G5:G16">F5-E5</f>
        <v>3.008539935691715</v>
      </c>
    </row>
    <row r="6" spans="1:7" s="8" customFormat="1" ht="15">
      <c r="A6" s="4" t="s">
        <v>84</v>
      </c>
      <c r="B6" s="20">
        <v>15.9</v>
      </c>
      <c r="C6" s="20">
        <f t="shared" si="0"/>
        <v>0.7321157556270097</v>
      </c>
      <c r="D6" s="84">
        <f t="shared" si="1"/>
        <v>16.63211575562701</v>
      </c>
      <c r="E6" s="19">
        <f t="shared" si="2"/>
        <v>741.459720385852</v>
      </c>
      <c r="F6" s="22">
        <v>744</v>
      </c>
      <c r="G6" s="21">
        <f t="shared" si="3"/>
        <v>2.5402796141479485</v>
      </c>
    </row>
    <row r="7" spans="1:7" s="8" customFormat="1" ht="15">
      <c r="A7" s="4" t="s">
        <v>125</v>
      </c>
      <c r="B7" s="20">
        <v>12.7</v>
      </c>
      <c r="C7" s="20">
        <f t="shared" si="0"/>
        <v>0.5847717041800643</v>
      </c>
      <c r="D7" s="84">
        <f>B7+C7</f>
        <v>13.284771704180063</v>
      </c>
      <c r="E7" s="19">
        <f>D7*$E$1</f>
        <v>592.2351225723472</v>
      </c>
      <c r="F7" s="22">
        <v>593</v>
      </c>
      <c r="G7" s="21">
        <f>F7-E7</f>
        <v>0.7648774276527774</v>
      </c>
    </row>
    <row r="8" spans="1:7" s="8" customFormat="1" ht="15">
      <c r="A8" s="4" t="s">
        <v>172</v>
      </c>
      <c r="B8" s="20">
        <v>6.9</v>
      </c>
      <c r="C8" s="20">
        <f t="shared" si="0"/>
        <v>0.3177106109324759</v>
      </c>
      <c r="D8" s="84">
        <f>B8+C8</f>
        <v>7.2177106109324765</v>
      </c>
      <c r="E8" s="19">
        <f>D8*$E$1</f>
        <v>321.7655390353698</v>
      </c>
      <c r="F8" s="22">
        <v>325</v>
      </c>
      <c r="G8" s="21">
        <f>F8-E8</f>
        <v>3.234460964630216</v>
      </c>
    </row>
    <row r="9" spans="1:7" s="8" customFormat="1" ht="15">
      <c r="A9" s="4" t="s">
        <v>29</v>
      </c>
      <c r="B9" s="20">
        <v>9.9</v>
      </c>
      <c r="C9" s="20">
        <f t="shared" si="0"/>
        <v>0.4558456591639871</v>
      </c>
      <c r="D9" s="84">
        <f>B9+C9</f>
        <v>10.355845659163988</v>
      </c>
      <c r="E9" s="19">
        <f>D9*$E$1</f>
        <v>461.66359948553054</v>
      </c>
      <c r="F9" s="22">
        <v>462</v>
      </c>
      <c r="G9" s="21">
        <f>F9-E9</f>
        <v>0.3364005144694602</v>
      </c>
    </row>
    <row r="10" spans="1:7" s="8" customFormat="1" ht="15">
      <c r="A10" s="4" t="s">
        <v>50</v>
      </c>
      <c r="B10" s="20">
        <v>18.6</v>
      </c>
      <c r="C10" s="20">
        <f t="shared" si="0"/>
        <v>0.8564372990353698</v>
      </c>
      <c r="D10" s="84">
        <f t="shared" si="1"/>
        <v>19.456437299035372</v>
      </c>
      <c r="E10" s="19">
        <f t="shared" si="2"/>
        <v>867.3679747909969</v>
      </c>
      <c r="F10" s="22">
        <v>882</v>
      </c>
      <c r="G10" s="21">
        <f t="shared" si="3"/>
        <v>14.632025209003132</v>
      </c>
    </row>
    <row r="11" spans="1:8" s="8" customFormat="1" ht="15">
      <c r="A11" s="4" t="s">
        <v>48</v>
      </c>
      <c r="B11" s="20">
        <v>20.9</v>
      </c>
      <c r="C11" s="20">
        <f t="shared" si="0"/>
        <v>0.9623408360128617</v>
      </c>
      <c r="D11" s="84">
        <f t="shared" si="1"/>
        <v>21.86234083601286</v>
      </c>
      <c r="E11" s="19">
        <f t="shared" si="2"/>
        <v>974.6231544694532</v>
      </c>
      <c r="F11" s="22">
        <v>981</v>
      </c>
      <c r="G11" s="21">
        <f>F11-E11</f>
        <v>6.376845530546802</v>
      </c>
      <c r="H11" s="31"/>
    </row>
    <row r="12" spans="1:7" s="8" customFormat="1" ht="15">
      <c r="A12" s="4" t="s">
        <v>254</v>
      </c>
      <c r="B12" s="20">
        <v>33.5</v>
      </c>
      <c r="C12" s="20">
        <f t="shared" si="0"/>
        <v>1.542508038585209</v>
      </c>
      <c r="D12" s="84">
        <f t="shared" si="1"/>
        <v>35.04250803858521</v>
      </c>
      <c r="E12" s="19">
        <f t="shared" si="2"/>
        <v>1562.1950083601287</v>
      </c>
      <c r="F12" s="22">
        <v>1562</v>
      </c>
      <c r="G12" s="21">
        <f t="shared" si="3"/>
        <v>-0.19500836012866785</v>
      </c>
    </row>
    <row r="13" spans="1:7" s="8" customFormat="1" ht="15">
      <c r="A13" s="4" t="s">
        <v>175</v>
      </c>
      <c r="B13" s="20">
        <v>33.6</v>
      </c>
      <c r="C13" s="20">
        <f t="shared" si="0"/>
        <v>1.547112540192926</v>
      </c>
      <c r="D13" s="84">
        <f t="shared" si="1"/>
        <v>35.14711254019293</v>
      </c>
      <c r="E13" s="19">
        <f t="shared" si="2"/>
        <v>1566.8582770418006</v>
      </c>
      <c r="F13" s="22">
        <v>1570</v>
      </c>
      <c r="G13" s="21">
        <f t="shared" si="3"/>
        <v>3.1417229581993524</v>
      </c>
    </row>
    <row r="14" spans="1:7" s="8" customFormat="1" ht="15">
      <c r="A14" s="4" t="s">
        <v>290</v>
      </c>
      <c r="B14" s="20">
        <v>50.15</v>
      </c>
      <c r="C14" s="20">
        <f t="shared" si="0"/>
        <v>2.3091575562700966</v>
      </c>
      <c r="D14" s="84">
        <f t="shared" si="1"/>
        <v>52.45915755627009</v>
      </c>
      <c r="E14" s="19">
        <f t="shared" si="2"/>
        <v>2338.6292438585206</v>
      </c>
      <c r="F14" s="22">
        <v>2342</v>
      </c>
      <c r="G14" s="21">
        <f t="shared" si="3"/>
        <v>3.3707561414794327</v>
      </c>
    </row>
    <row r="15" spans="1:7" s="8" customFormat="1" ht="15">
      <c r="A15" s="4" t="s">
        <v>197</v>
      </c>
      <c r="B15" s="20">
        <v>6.5</v>
      </c>
      <c r="C15" s="20">
        <f t="shared" si="0"/>
        <v>0.2992926045016077</v>
      </c>
      <c r="D15" s="84">
        <f>B15+C15</f>
        <v>6.799292604501607</v>
      </c>
      <c r="E15" s="19">
        <f>D15*$E$1</f>
        <v>303.11246430868164</v>
      </c>
      <c r="F15" s="22">
        <v>304</v>
      </c>
      <c r="G15" s="21">
        <f>F15-E15</f>
        <v>0.8875356913183623</v>
      </c>
    </row>
    <row r="16" spans="1:7" s="8" customFormat="1" ht="15">
      <c r="A16" s="7" t="s">
        <v>159</v>
      </c>
      <c r="B16" s="20">
        <v>4.9</v>
      </c>
      <c r="C16" s="20">
        <f t="shared" si="0"/>
        <v>0.22562057877813504</v>
      </c>
      <c r="D16" s="84">
        <f t="shared" si="1"/>
        <v>5.125620578778135</v>
      </c>
      <c r="E16" s="19">
        <f t="shared" si="2"/>
        <v>228.50016540192925</v>
      </c>
      <c r="F16" s="22">
        <v>229</v>
      </c>
      <c r="G16" s="21">
        <f t="shared" si="3"/>
        <v>0.49983459807074837</v>
      </c>
    </row>
    <row r="17" spans="1:7" s="8" customFormat="1" ht="15">
      <c r="A17" s="7" t="s">
        <v>224</v>
      </c>
      <c r="B17" s="20">
        <v>47.1</v>
      </c>
      <c r="C17" s="20">
        <f t="shared" si="0"/>
        <v>2.168720257234727</v>
      </c>
      <c r="D17" s="85"/>
      <c r="E17" s="28"/>
      <c r="F17" s="28"/>
      <c r="G17" s="28"/>
    </row>
    <row r="18" spans="1:7" s="8" customFormat="1" ht="15">
      <c r="A18" s="25"/>
      <c r="B18" s="86">
        <v>388.75</v>
      </c>
      <c r="C18" s="86">
        <v>17.9</v>
      </c>
      <c r="D18" s="27"/>
      <c r="E18" s="28"/>
      <c r="F18" s="28"/>
      <c r="G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8" customFormat="1" ht="21.75" customHeight="1">
      <c r="A1" s="9" t="s">
        <v>205</v>
      </c>
      <c r="B1" s="10">
        <v>41582</v>
      </c>
      <c r="C1" s="10"/>
      <c r="D1" s="11" t="s">
        <v>206</v>
      </c>
      <c r="E1" s="12">
        <v>44.68</v>
      </c>
      <c r="G1" s="8" t="s">
        <v>207</v>
      </c>
    </row>
    <row r="2" spans="1:2" s="8" customFormat="1" ht="23.25" customHeight="1">
      <c r="A2" s="33" t="s">
        <v>304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48</v>
      </c>
      <c r="B4" s="20">
        <v>12.8</v>
      </c>
      <c r="C4" s="20">
        <f aca="true" t="shared" si="0" ref="C4:C17">B4/$B$18*$C$18</f>
        <v>0.6454448137923262</v>
      </c>
      <c r="D4" s="84">
        <f>B4+C4</f>
        <v>13.445444813792326</v>
      </c>
      <c r="E4" s="19">
        <f>D4*$E$1</f>
        <v>600.7424742802411</v>
      </c>
      <c r="F4" s="22">
        <v>598</v>
      </c>
      <c r="G4" s="21">
        <f>F4-E4</f>
        <v>-2.74247428024114</v>
      </c>
    </row>
    <row r="5" spans="1:7" s="8" customFormat="1" ht="15">
      <c r="A5" s="4" t="s">
        <v>137</v>
      </c>
      <c r="B5" s="20">
        <v>16.85</v>
      </c>
      <c r="C5" s="20">
        <f t="shared" si="0"/>
        <v>0.8496675869063046</v>
      </c>
      <c r="D5" s="84">
        <f aca="true" t="shared" si="1" ref="D5:D16">B5+C5</f>
        <v>17.699667586906305</v>
      </c>
      <c r="E5" s="19">
        <f aca="true" t="shared" si="2" ref="E5:E16">D5*$E$1</f>
        <v>790.8211477829736</v>
      </c>
      <c r="F5" s="22">
        <f>1000-145</f>
        <v>855</v>
      </c>
      <c r="G5" s="21">
        <f aca="true" t="shared" si="3" ref="G5:G16">F5-E5</f>
        <v>64.17885221702636</v>
      </c>
    </row>
    <row r="6" spans="1:7" s="8" customFormat="1" ht="15">
      <c r="A6" s="4" t="s">
        <v>121</v>
      </c>
      <c r="B6" s="20">
        <v>12.9</v>
      </c>
      <c r="C6" s="20">
        <f t="shared" si="0"/>
        <v>0.6504873514000789</v>
      </c>
      <c r="D6" s="84">
        <f t="shared" si="1"/>
        <v>13.55048735140008</v>
      </c>
      <c r="E6" s="19">
        <f t="shared" si="2"/>
        <v>605.4357748605555</v>
      </c>
      <c r="F6" s="22">
        <v>600</v>
      </c>
      <c r="G6" s="21">
        <f t="shared" si="3"/>
        <v>-5.435774860555512</v>
      </c>
    </row>
    <row r="7" spans="1:7" s="8" customFormat="1" ht="15">
      <c r="A7" s="4" t="s">
        <v>135</v>
      </c>
      <c r="B7" s="20">
        <v>24.8</v>
      </c>
      <c r="C7" s="20">
        <f t="shared" si="0"/>
        <v>1.2505493267226322</v>
      </c>
      <c r="D7" s="84">
        <f>B7+C7</f>
        <v>26.05054932672263</v>
      </c>
      <c r="E7" s="19">
        <f>D7*$E$1</f>
        <v>1163.938543917967</v>
      </c>
      <c r="F7" s="22">
        <v>1159</v>
      </c>
      <c r="G7" s="21">
        <f>F7-E7</f>
        <v>-4.938543917967081</v>
      </c>
    </row>
    <row r="8" spans="1:8" s="8" customFormat="1" ht="15">
      <c r="A8" s="4" t="s">
        <v>62</v>
      </c>
      <c r="B8" s="20">
        <v>7.5</v>
      </c>
      <c r="C8" s="20">
        <f t="shared" si="0"/>
        <v>0.3781903205814412</v>
      </c>
      <c r="D8" s="84">
        <f>B8+C8</f>
        <v>7.878190320581441</v>
      </c>
      <c r="E8" s="19">
        <f>D8*$E$1</f>
        <v>351.9975435235788</v>
      </c>
      <c r="F8" s="22">
        <f>272+79</f>
        <v>351</v>
      </c>
      <c r="G8" s="21">
        <f>F8-E8</f>
        <v>-0.9975435235788268</v>
      </c>
      <c r="H8" s="45" t="s">
        <v>305</v>
      </c>
    </row>
    <row r="9" spans="1:8" s="8" customFormat="1" ht="15">
      <c r="A9" s="4" t="s">
        <v>174</v>
      </c>
      <c r="B9" s="20">
        <v>31.4</v>
      </c>
      <c r="C9" s="20">
        <f t="shared" si="0"/>
        <v>1.5833568088343002</v>
      </c>
      <c r="D9" s="84">
        <f>B9+C9</f>
        <v>32.9833568088343</v>
      </c>
      <c r="E9" s="19">
        <f>D9*$E$1</f>
        <v>1473.6963822187165</v>
      </c>
      <c r="F9" s="22">
        <f>1256+213</f>
        <v>1469</v>
      </c>
      <c r="G9" s="21">
        <f>F9-E9</f>
        <v>-4.696382218716508</v>
      </c>
      <c r="H9" s="45" t="s">
        <v>306</v>
      </c>
    </row>
    <row r="10" spans="1:7" s="8" customFormat="1" ht="15">
      <c r="A10" s="4" t="s">
        <v>108</v>
      </c>
      <c r="B10" s="20">
        <v>21.9</v>
      </c>
      <c r="C10" s="20">
        <f t="shared" si="0"/>
        <v>1.104315736097808</v>
      </c>
      <c r="D10" s="84">
        <f t="shared" si="1"/>
        <v>23.004315736097805</v>
      </c>
      <c r="E10" s="19">
        <f t="shared" si="2"/>
        <v>1027.8328270888499</v>
      </c>
      <c r="F10" s="22">
        <f>1023+5</f>
        <v>1028</v>
      </c>
      <c r="G10" s="21">
        <f t="shared" si="3"/>
        <v>0.16717291115014632</v>
      </c>
    </row>
    <row r="11" spans="1:8" s="8" customFormat="1" ht="15">
      <c r="A11" s="4" t="s">
        <v>86</v>
      </c>
      <c r="B11" s="20">
        <v>8.95</v>
      </c>
      <c r="C11" s="20">
        <f t="shared" si="0"/>
        <v>0.4513071158938531</v>
      </c>
      <c r="D11" s="84">
        <f t="shared" si="1"/>
        <v>9.401307115893852</v>
      </c>
      <c r="E11" s="19">
        <f t="shared" si="2"/>
        <v>420.0504019381373</v>
      </c>
      <c r="F11" s="22">
        <f>418+2</f>
        <v>420</v>
      </c>
      <c r="G11" s="21">
        <f>F11-E11</f>
        <v>-0.05040193813732685</v>
      </c>
      <c r="H11" s="31"/>
    </row>
    <row r="12" spans="1:7" s="8" customFormat="1" ht="15">
      <c r="A12" s="4" t="s">
        <v>199</v>
      </c>
      <c r="B12" s="20">
        <v>23.8</v>
      </c>
      <c r="C12" s="20">
        <f t="shared" si="0"/>
        <v>1.2001239506451067</v>
      </c>
      <c r="D12" s="84">
        <f t="shared" si="1"/>
        <v>25.000123950645108</v>
      </c>
      <c r="E12" s="19">
        <f t="shared" si="2"/>
        <v>1117.0055381148234</v>
      </c>
      <c r="F12" s="22">
        <f>1112+5</f>
        <v>1117</v>
      </c>
      <c r="G12" s="21">
        <f t="shared" si="3"/>
        <v>-0.0055381148233664135</v>
      </c>
    </row>
    <row r="13" spans="1:7" s="8" customFormat="1" ht="15">
      <c r="A13" s="4" t="s">
        <v>254</v>
      </c>
      <c r="B13" s="20">
        <v>23.78</v>
      </c>
      <c r="C13" s="20">
        <f t="shared" si="0"/>
        <v>1.1991154431235562</v>
      </c>
      <c r="D13" s="84">
        <f t="shared" si="1"/>
        <v>24.979115443123558</v>
      </c>
      <c r="E13" s="19">
        <f t="shared" si="2"/>
        <v>1116.0668779987604</v>
      </c>
      <c r="F13" s="22">
        <f>1111+5</f>
        <v>1116</v>
      </c>
      <c r="G13" s="21">
        <f t="shared" si="3"/>
        <v>-0.06687799876044664</v>
      </c>
    </row>
    <row r="14" spans="1:7" s="8" customFormat="1" ht="15">
      <c r="A14" s="4" t="s">
        <v>119</v>
      </c>
      <c r="B14" s="20">
        <v>10.9</v>
      </c>
      <c r="C14" s="20">
        <f t="shared" si="0"/>
        <v>0.5496365992450278</v>
      </c>
      <c r="D14" s="84">
        <f t="shared" si="1"/>
        <v>11.449636599245029</v>
      </c>
      <c r="E14" s="19">
        <f t="shared" si="2"/>
        <v>511.56976325426785</v>
      </c>
      <c r="F14" s="22">
        <f>509+3</f>
        <v>512</v>
      </c>
      <c r="G14" s="21">
        <f t="shared" si="3"/>
        <v>0.4302367457321452</v>
      </c>
    </row>
    <row r="15" spans="1:8" s="8" customFormat="1" ht="15">
      <c r="A15" s="4" t="s">
        <v>49</v>
      </c>
      <c r="B15" s="20">
        <v>25</v>
      </c>
      <c r="C15" s="20">
        <f t="shared" si="0"/>
        <v>1.2606344019381373</v>
      </c>
      <c r="D15" s="84">
        <f>B15+C15</f>
        <v>26.260634401938137</v>
      </c>
      <c r="E15" s="19">
        <f>D15*$E$1</f>
        <v>1173.325145078596</v>
      </c>
      <c r="F15" s="22">
        <f>384+784</f>
        <v>1168</v>
      </c>
      <c r="G15" s="21">
        <f>F15-E15</f>
        <v>-5.3251450785960515</v>
      </c>
      <c r="H15" s="45" t="s">
        <v>307</v>
      </c>
    </row>
    <row r="16" spans="1:7" s="8" customFormat="1" ht="15">
      <c r="A16" s="7" t="s">
        <v>163</v>
      </c>
      <c r="B16" s="20">
        <v>14.15</v>
      </c>
      <c r="C16" s="20">
        <f t="shared" si="0"/>
        <v>0.7135190714969857</v>
      </c>
      <c r="D16" s="84">
        <f t="shared" si="1"/>
        <v>14.863519071496986</v>
      </c>
      <c r="E16" s="19">
        <f t="shared" si="2"/>
        <v>664.1020321144854</v>
      </c>
      <c r="F16" s="22">
        <v>658</v>
      </c>
      <c r="G16" s="21">
        <f t="shared" si="3"/>
        <v>-6.102032114485382</v>
      </c>
    </row>
    <row r="17" spans="1:7" s="8" customFormat="1" ht="15">
      <c r="A17" s="7" t="s">
        <v>224</v>
      </c>
      <c r="B17" s="20">
        <v>120.25</v>
      </c>
      <c r="C17" s="20">
        <f t="shared" si="0"/>
        <v>6.06365147332244</v>
      </c>
      <c r="D17" s="85"/>
      <c r="E17" s="28"/>
      <c r="F17" s="28"/>
      <c r="G17" s="28"/>
    </row>
    <row r="18" spans="1:7" s="8" customFormat="1" ht="15">
      <c r="A18" s="25"/>
      <c r="B18" s="86">
        <f>SUM(B4:B17)</f>
        <v>354.98</v>
      </c>
      <c r="C18" s="86">
        <v>17.9</v>
      </c>
      <c r="D18" s="27"/>
      <c r="E18" s="28"/>
      <c r="F18" s="28"/>
      <c r="G18" s="28"/>
    </row>
    <row r="19" ht="15">
      <c r="C19" s="88"/>
    </row>
    <row r="20" ht="23.25">
      <c r="A20" s="89" t="s">
        <v>308</v>
      </c>
    </row>
    <row r="21" spans="1:47" s="51" customFormat="1" ht="31.5">
      <c r="A21" s="51" t="s">
        <v>236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5">
      <c r="B22" s="58" t="s">
        <v>309</v>
      </c>
    </row>
    <row r="23" spans="1:3" ht="26.25" customHeight="1">
      <c r="A23" s="51" t="s">
        <v>135</v>
      </c>
      <c r="B23" s="52"/>
      <c r="C23" s="52"/>
    </row>
    <row r="24" spans="1:3" ht="15">
      <c r="A24" s="55"/>
      <c r="B24" s="58" t="s">
        <v>310</v>
      </c>
      <c r="C24" s="55"/>
    </row>
    <row r="25" spans="1:3" ht="15">
      <c r="A25" s="55"/>
      <c r="B25" s="58" t="s">
        <v>311</v>
      </c>
      <c r="C25" s="55"/>
    </row>
    <row r="26" spans="1:3" ht="15">
      <c r="A26" s="55"/>
      <c r="B26" s="58" t="s">
        <v>312</v>
      </c>
      <c r="C26" s="55"/>
    </row>
    <row r="27" spans="1:48" s="51" customFormat="1" ht="31.5">
      <c r="A27" s="51" t="s">
        <v>49</v>
      </c>
      <c r="B27" s="68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5">
      <c r="A28" s="55"/>
      <c r="B28" s="58" t="s">
        <v>313</v>
      </c>
      <c r="C28" s="55"/>
    </row>
    <row r="31" ht="31.5">
      <c r="A31" s="50" t="s">
        <v>314</v>
      </c>
    </row>
    <row r="32" ht="31.5">
      <c r="A32" s="50" t="s">
        <v>315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205</v>
      </c>
      <c r="B1" s="10">
        <v>41609</v>
      </c>
      <c r="C1" s="10"/>
      <c r="D1" s="11" t="s">
        <v>206</v>
      </c>
      <c r="E1" s="12">
        <v>45.95</v>
      </c>
      <c r="G1" s="8" t="s">
        <v>207</v>
      </c>
    </row>
    <row r="2" spans="1:2" s="8" customFormat="1" ht="23.25" customHeight="1">
      <c r="A2" s="33" t="s">
        <v>316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58</v>
      </c>
      <c r="B4" s="20">
        <v>22.4</v>
      </c>
      <c r="C4" s="20">
        <f aca="true" t="shared" si="0" ref="C4:C19">B4/$B$20*$C$20</f>
        <v>1.0559081452611065</v>
      </c>
      <c r="D4" s="84">
        <f>B4+C4</f>
        <v>23.455908145261105</v>
      </c>
      <c r="E4" s="19">
        <f>D4*$E$1</f>
        <v>1077.7989792747478</v>
      </c>
      <c r="F4" s="22">
        <v>1081</v>
      </c>
      <c r="G4" s="21">
        <f>F4-E4</f>
        <v>3.2010207252521923</v>
      </c>
    </row>
    <row r="5" spans="1:7" s="8" customFormat="1" ht="15">
      <c r="A5" s="4" t="s">
        <v>49</v>
      </c>
      <c r="B5" s="20">
        <v>7.5</v>
      </c>
      <c r="C5" s="20">
        <f t="shared" si="0"/>
        <v>0.35354067363653124</v>
      </c>
      <c r="D5" s="84">
        <f aca="true" t="shared" si="1" ref="D5:D17">B5+C5</f>
        <v>7.853540673636531</v>
      </c>
      <c r="E5" s="19">
        <f aca="true" t="shared" si="2" ref="E5:E17">D5*$E$1</f>
        <v>360.87019395359863</v>
      </c>
      <c r="F5" s="22">
        <v>544</v>
      </c>
      <c r="G5" s="21">
        <f aca="true" t="shared" si="3" ref="G5:G17">F5-E5</f>
        <v>183.12980604640137</v>
      </c>
    </row>
    <row r="6" spans="1:7" s="8" customFormat="1" ht="15">
      <c r="A6" s="4" t="s">
        <v>102</v>
      </c>
      <c r="B6" s="20">
        <v>38.9</v>
      </c>
      <c r="C6" s="20">
        <f t="shared" si="0"/>
        <v>1.8336976272614751</v>
      </c>
      <c r="D6" s="84">
        <f t="shared" si="1"/>
        <v>40.73369762726147</v>
      </c>
      <c r="E6" s="19">
        <f t="shared" si="2"/>
        <v>1871.7134059726648</v>
      </c>
      <c r="F6" s="22">
        <v>1877</v>
      </c>
      <c r="G6" s="21">
        <f t="shared" si="3"/>
        <v>5.286594027335241</v>
      </c>
    </row>
    <row r="7" spans="1:7" s="8" customFormat="1" ht="15">
      <c r="A7" s="4" t="s">
        <v>107</v>
      </c>
      <c r="B7" s="20">
        <v>16</v>
      </c>
      <c r="C7" s="20">
        <f t="shared" si="0"/>
        <v>0.7542201037579334</v>
      </c>
      <c r="D7" s="84">
        <f>B7+C7</f>
        <v>16.754220103757934</v>
      </c>
      <c r="E7" s="19">
        <f>D7*$E$1</f>
        <v>769.856413767677</v>
      </c>
      <c r="F7" s="22">
        <v>772</v>
      </c>
      <c r="G7" s="21">
        <f>F7-E7</f>
        <v>2.1435862323229458</v>
      </c>
    </row>
    <row r="8" spans="1:8" s="8" customFormat="1" ht="15">
      <c r="A8" s="4" t="s">
        <v>171</v>
      </c>
      <c r="B8" s="20">
        <v>24.9</v>
      </c>
      <c r="C8" s="20">
        <f t="shared" si="0"/>
        <v>1.1737550364732838</v>
      </c>
      <c r="D8" s="84">
        <f>B8+C8</f>
        <v>26.073755036473283</v>
      </c>
      <c r="E8" s="19">
        <f>D8*$E$1</f>
        <v>1198.0890439259474</v>
      </c>
      <c r="F8" s="22">
        <v>1202</v>
      </c>
      <c r="G8" s="21">
        <f>F8-E8</f>
        <v>3.910956074052592</v>
      </c>
      <c r="H8" s="45"/>
    </row>
    <row r="9" spans="1:7" s="8" customFormat="1" ht="15">
      <c r="A9" s="4" t="s">
        <v>50</v>
      </c>
      <c r="B9" s="20">
        <v>22.7</v>
      </c>
      <c r="C9" s="20">
        <f t="shared" si="0"/>
        <v>1.0700497722065678</v>
      </c>
      <c r="D9" s="84">
        <f t="shared" si="1"/>
        <v>23.770049772206566</v>
      </c>
      <c r="E9" s="19">
        <f t="shared" si="2"/>
        <v>1092.2337870328918</v>
      </c>
      <c r="F9" s="22">
        <v>1096</v>
      </c>
      <c r="G9" s="21">
        <f t="shared" si="3"/>
        <v>3.766212967108231</v>
      </c>
    </row>
    <row r="10" spans="1:8" s="8" customFormat="1" ht="15">
      <c r="A10" s="4" t="s">
        <v>134</v>
      </c>
      <c r="B10" s="20">
        <v>29.6</v>
      </c>
      <c r="C10" s="20">
        <f t="shared" si="0"/>
        <v>1.3953071919521767</v>
      </c>
      <c r="D10" s="84">
        <f t="shared" si="1"/>
        <v>30.99530719195218</v>
      </c>
      <c r="E10" s="19">
        <f t="shared" si="2"/>
        <v>1424.2343654702026</v>
      </c>
      <c r="F10" s="22">
        <v>1431</v>
      </c>
      <c r="G10" s="21">
        <f>F10-E10</f>
        <v>6.765634529797353</v>
      </c>
      <c r="H10" s="31"/>
    </row>
    <row r="11" spans="1:8" s="8" customFormat="1" ht="15">
      <c r="A11" s="4" t="s">
        <v>27</v>
      </c>
      <c r="B11" s="20">
        <v>23.8</v>
      </c>
      <c r="C11" s="20">
        <f t="shared" si="0"/>
        <v>1.121902404339926</v>
      </c>
      <c r="D11" s="84">
        <f t="shared" si="1"/>
        <v>24.921902404339928</v>
      </c>
      <c r="E11" s="19">
        <f t="shared" si="2"/>
        <v>1145.1614154794197</v>
      </c>
      <c r="F11" s="22">
        <f>1149-4</f>
        <v>1145</v>
      </c>
      <c r="G11" s="21">
        <f t="shared" si="3"/>
        <v>-0.16141547941970202</v>
      </c>
      <c r="H11" s="8" t="s">
        <v>317</v>
      </c>
    </row>
    <row r="12" spans="1:7" s="8" customFormat="1" ht="15">
      <c r="A12" s="4" t="s">
        <v>8</v>
      </c>
      <c r="B12" s="20">
        <v>6.4</v>
      </c>
      <c r="C12" s="20">
        <f t="shared" si="0"/>
        <v>0.30168804150317335</v>
      </c>
      <c r="D12" s="84">
        <f>B12+C12</f>
        <v>6.701688041503174</v>
      </c>
      <c r="E12" s="19">
        <f>D12*$E$1</f>
        <v>307.94256550707087</v>
      </c>
      <c r="F12" s="22">
        <v>309</v>
      </c>
      <c r="G12" s="21">
        <f>F12-E12</f>
        <v>1.0574344929291328</v>
      </c>
    </row>
    <row r="13" spans="1:8" s="8" customFormat="1" ht="15">
      <c r="A13" s="90" t="s">
        <v>32</v>
      </c>
      <c r="B13" s="20">
        <v>25.35</v>
      </c>
      <c r="C13" s="20">
        <f t="shared" si="0"/>
        <v>1.1949674768914758</v>
      </c>
      <c r="D13" s="84">
        <f>B13+C13</f>
        <v>26.54496747689148</v>
      </c>
      <c r="E13" s="19">
        <f>D13*$E$1</f>
        <v>1219.7412555631636</v>
      </c>
      <c r="F13" s="22">
        <v>1600</v>
      </c>
      <c r="G13" s="21">
        <f>F13-E13</f>
        <v>380.2587444368364</v>
      </c>
      <c r="H13" s="45"/>
    </row>
    <row r="14" spans="1:7" s="8" customFormat="1" ht="15">
      <c r="A14" s="4" t="s">
        <v>176</v>
      </c>
      <c r="B14" s="20">
        <v>14.9</v>
      </c>
      <c r="C14" s="20">
        <f t="shared" si="0"/>
        <v>0.7023674716245754</v>
      </c>
      <c r="D14" s="84">
        <f t="shared" si="1"/>
        <v>15.602367471624575</v>
      </c>
      <c r="E14" s="19">
        <f t="shared" si="2"/>
        <v>716.9287853211492</v>
      </c>
      <c r="F14" s="22">
        <v>717</v>
      </c>
      <c r="G14" s="21">
        <f t="shared" si="3"/>
        <v>0.07121467885076527</v>
      </c>
    </row>
    <row r="15" spans="1:7" s="8" customFormat="1" ht="15">
      <c r="A15" s="4" t="s">
        <v>174</v>
      </c>
      <c r="B15" s="20">
        <v>34.5</v>
      </c>
      <c r="C15" s="20">
        <f t="shared" si="0"/>
        <v>1.6262870987280436</v>
      </c>
      <c r="D15" s="84">
        <f t="shared" si="1"/>
        <v>36.12628709872804</v>
      </c>
      <c r="E15" s="19">
        <f t="shared" si="2"/>
        <v>1660.0028921865537</v>
      </c>
      <c r="F15" s="22">
        <v>1665</v>
      </c>
      <c r="G15" s="21">
        <f t="shared" si="3"/>
        <v>4.997107813446291</v>
      </c>
    </row>
    <row r="16" spans="1:8" s="8" customFormat="1" ht="15">
      <c r="A16" s="4" t="s">
        <v>158</v>
      </c>
      <c r="B16" s="20">
        <v>39.51</v>
      </c>
      <c r="C16" s="20">
        <f t="shared" si="0"/>
        <v>1.8624522687172465</v>
      </c>
      <c r="D16" s="84">
        <f>B16+C16</f>
        <v>41.37245226871725</v>
      </c>
      <c r="E16" s="19">
        <f>D16*$E$1</f>
        <v>1901.0641817475575</v>
      </c>
      <c r="F16" s="22">
        <f>350+1557</f>
        <v>1907</v>
      </c>
      <c r="G16" s="21">
        <f>F16-E16</f>
        <v>5.935818252442459</v>
      </c>
      <c r="H16" s="45"/>
    </row>
    <row r="17" spans="1:7" s="8" customFormat="1" ht="15">
      <c r="A17" s="7" t="s">
        <v>318</v>
      </c>
      <c r="B17" s="20">
        <v>5.9</v>
      </c>
      <c r="C17" s="20">
        <f t="shared" si="0"/>
        <v>0.2781186632607379</v>
      </c>
      <c r="D17" s="84">
        <f t="shared" si="1"/>
        <v>6.178118663260738</v>
      </c>
      <c r="E17" s="19">
        <f t="shared" si="2"/>
        <v>283.88455257683097</v>
      </c>
      <c r="F17" s="22">
        <v>285</v>
      </c>
      <c r="G17" s="21">
        <f t="shared" si="3"/>
        <v>1.1154474231690301</v>
      </c>
    </row>
    <row r="18" spans="1:7" s="8" customFormat="1" ht="15">
      <c r="A18" s="7" t="s">
        <v>97</v>
      </c>
      <c r="B18" s="20">
        <v>6.5</v>
      </c>
      <c r="C18" s="20">
        <f t="shared" si="0"/>
        <v>0.3064019171516604</v>
      </c>
      <c r="D18" s="84">
        <f>B18+C18</f>
        <v>6.8064019171516605</v>
      </c>
      <c r="E18" s="19">
        <f>D18*$E$1</f>
        <v>312.75416809311884</v>
      </c>
      <c r="F18" s="22">
        <v>314</v>
      </c>
      <c r="G18" s="21">
        <f>F18-E18</f>
        <v>1.2458319068811647</v>
      </c>
    </row>
    <row r="19" spans="1:7" s="8" customFormat="1" ht="15">
      <c r="A19" s="7" t="s">
        <v>224</v>
      </c>
      <c r="B19" s="20">
        <f>53.57+7.3</f>
        <v>60.87</v>
      </c>
      <c r="C19" s="20">
        <f t="shared" si="0"/>
        <v>2.869336107234087</v>
      </c>
      <c r="D19" s="85"/>
      <c r="E19" s="28"/>
      <c r="F19" s="28"/>
      <c r="G19" s="28"/>
    </row>
    <row r="20" spans="1:7" s="8" customFormat="1" ht="15">
      <c r="A20" s="25"/>
      <c r="B20" s="86">
        <f>SUM(B4:B19)</f>
        <v>379.72999999999996</v>
      </c>
      <c r="C20" s="86">
        <v>17.9</v>
      </c>
      <c r="D20" s="91"/>
      <c r="E20" s="28"/>
      <c r="F20" s="28"/>
      <c r="G20" s="28"/>
    </row>
    <row r="21" ht="15">
      <c r="C21" s="88"/>
    </row>
    <row r="22" ht="23.25">
      <c r="A22" s="89" t="s">
        <v>308</v>
      </c>
    </row>
    <row r="23" spans="1:47" s="51" customFormat="1" ht="31.5">
      <c r="A23" s="92" t="s">
        <v>58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58" t="s">
        <v>319</v>
      </c>
      <c r="B24" s="58"/>
    </row>
    <row r="25" spans="1:3" ht="26.25" customHeight="1">
      <c r="A25" s="92" t="s">
        <v>107</v>
      </c>
      <c r="B25" s="52"/>
      <c r="C25" s="52"/>
    </row>
    <row r="26" spans="1:3" ht="15">
      <c r="A26" s="58" t="s">
        <v>320</v>
      </c>
      <c r="B26" s="59"/>
      <c r="C26" s="55"/>
    </row>
    <row r="27" spans="1:3" ht="31.5">
      <c r="A27" s="92" t="s">
        <v>27</v>
      </c>
      <c r="B27" s="52"/>
      <c r="C27" s="52"/>
    </row>
    <row r="28" spans="1:3" ht="15">
      <c r="A28" s="58" t="s">
        <v>321</v>
      </c>
      <c r="B28" s="59"/>
      <c r="C28" s="55"/>
    </row>
    <row r="29" spans="1:48" s="51" customFormat="1" ht="31.5">
      <c r="A29" s="51" t="s">
        <v>49</v>
      </c>
      <c r="B29" s="68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5">
      <c r="A30" s="58" t="s">
        <v>313</v>
      </c>
      <c r="C30" s="55"/>
    </row>
    <row r="31" spans="1:3" ht="31.5">
      <c r="A31" s="92" t="s">
        <v>8</v>
      </c>
      <c r="B31" s="51"/>
      <c r="C31" s="51"/>
    </row>
    <row r="32" ht="15">
      <c r="A32" s="58" t="s">
        <v>322</v>
      </c>
    </row>
    <row r="35" ht="31.5">
      <c r="A35" s="50" t="s">
        <v>323</v>
      </c>
    </row>
    <row r="36" ht="31.5">
      <c r="A36" s="50" t="s">
        <v>315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205</v>
      </c>
      <c r="B1" s="10">
        <v>41638</v>
      </c>
      <c r="C1" s="10"/>
      <c r="D1" s="11" t="s">
        <v>206</v>
      </c>
      <c r="E1" s="12">
        <v>45.99</v>
      </c>
      <c r="G1" s="8" t="s">
        <v>207</v>
      </c>
    </row>
    <row r="2" spans="1:2" s="8" customFormat="1" ht="23.25" customHeight="1">
      <c r="A2" s="33" t="s">
        <v>324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174</v>
      </c>
      <c r="B4" s="20">
        <v>85.8</v>
      </c>
      <c r="C4" s="20">
        <f aca="true" t="shared" si="0" ref="C4:C13">B4/$B$14*$C$14</f>
        <v>5.257856898322491</v>
      </c>
      <c r="D4" s="84">
        <f>B4+C4</f>
        <v>91.05785689832248</v>
      </c>
      <c r="E4" s="19">
        <f>D4*$E$1</f>
        <v>4187.750838753851</v>
      </c>
      <c r="F4" s="22">
        <v>4182</v>
      </c>
      <c r="G4" s="21">
        <f>F4-E4</f>
        <v>-5.750838753850985</v>
      </c>
    </row>
    <row r="5" spans="1:7" s="8" customFormat="1" ht="15">
      <c r="A5" s="4" t="s">
        <v>25</v>
      </c>
      <c r="B5" s="20">
        <v>12.5</v>
      </c>
      <c r="C5" s="20">
        <f t="shared" si="0"/>
        <v>0.7660047928791508</v>
      </c>
      <c r="D5" s="84">
        <f aca="true" t="shared" si="1" ref="D5:D12">B5+C5</f>
        <v>13.266004792879151</v>
      </c>
      <c r="E5" s="19">
        <f aca="true" t="shared" si="2" ref="E5:E12">D5*$E$1</f>
        <v>610.1035604245122</v>
      </c>
      <c r="F5" s="22">
        <v>610</v>
      </c>
      <c r="G5" s="21">
        <f aca="true" t="shared" si="3" ref="G5:G12">F5-E5</f>
        <v>-0.10356042451223857</v>
      </c>
    </row>
    <row r="6" spans="1:7" s="8" customFormat="1" ht="15">
      <c r="A6" s="4" t="s">
        <v>236</v>
      </c>
      <c r="B6" s="20">
        <v>17.8</v>
      </c>
      <c r="C6" s="20">
        <f t="shared" si="0"/>
        <v>1.090790825059911</v>
      </c>
      <c r="D6" s="84">
        <f t="shared" si="1"/>
        <v>18.890790825059913</v>
      </c>
      <c r="E6" s="19">
        <f t="shared" si="2"/>
        <v>868.7874700445054</v>
      </c>
      <c r="F6" s="22">
        <v>869</v>
      </c>
      <c r="G6" s="21">
        <f t="shared" si="3"/>
        <v>0.2125299554945741</v>
      </c>
    </row>
    <row r="7" spans="1:7" s="8" customFormat="1" ht="15">
      <c r="A7" s="4" t="s">
        <v>5</v>
      </c>
      <c r="B7" s="20">
        <v>4.5</v>
      </c>
      <c r="C7" s="20">
        <f t="shared" si="0"/>
        <v>0.2757617254364943</v>
      </c>
      <c r="D7" s="84">
        <f>B7+C7</f>
        <v>4.775761725436494</v>
      </c>
      <c r="E7" s="19">
        <f>D7*$E$1</f>
        <v>219.63728175282438</v>
      </c>
      <c r="F7" s="22">
        <v>220</v>
      </c>
      <c r="G7" s="21">
        <f>F7-E7</f>
        <v>0.3627182471756214</v>
      </c>
    </row>
    <row r="8" spans="1:8" s="8" customFormat="1" ht="15">
      <c r="A8" s="4" t="s">
        <v>198</v>
      </c>
      <c r="B8" s="20">
        <v>11.4</v>
      </c>
      <c r="C8" s="20">
        <f t="shared" si="0"/>
        <v>0.6985963711057857</v>
      </c>
      <c r="D8" s="84">
        <f>B8+C8</f>
        <v>12.098596371105787</v>
      </c>
      <c r="E8" s="19">
        <f>D8*$E$1</f>
        <v>556.4144471071552</v>
      </c>
      <c r="F8" s="22">
        <v>556</v>
      </c>
      <c r="G8" s="21">
        <f>F8-E8</f>
        <v>-0.4144471071551834</v>
      </c>
      <c r="H8" s="45"/>
    </row>
    <row r="9" spans="1:7" s="8" customFormat="1" ht="15">
      <c r="A9" s="4" t="s">
        <v>61</v>
      </c>
      <c r="B9" s="20">
        <v>15.9</v>
      </c>
      <c r="C9" s="20">
        <f t="shared" si="0"/>
        <v>0.9743580965422799</v>
      </c>
      <c r="D9" s="84">
        <f t="shared" si="1"/>
        <v>16.87435809654228</v>
      </c>
      <c r="E9" s="19">
        <f t="shared" si="2"/>
        <v>776.0517288599796</v>
      </c>
      <c r="F9" s="22">
        <v>769</v>
      </c>
      <c r="G9" s="21">
        <f t="shared" si="3"/>
        <v>-7.051728859979562</v>
      </c>
    </row>
    <row r="10" spans="1:7" s="8" customFormat="1" ht="15">
      <c r="A10" s="4" t="s">
        <v>89</v>
      </c>
      <c r="B10" s="20">
        <v>17.9</v>
      </c>
      <c r="C10" s="20">
        <f t="shared" si="0"/>
        <v>1.0969188634029439</v>
      </c>
      <c r="D10" s="84">
        <f>B10+C10</f>
        <v>18.996918863402943</v>
      </c>
      <c r="E10" s="19">
        <f>D10*$E$1</f>
        <v>873.6682985279014</v>
      </c>
      <c r="F10" s="22">
        <v>874</v>
      </c>
      <c r="G10" s="21">
        <f>F10-E10</f>
        <v>0.33170147209864353</v>
      </c>
    </row>
    <row r="11" spans="1:8" s="8" customFormat="1" ht="15">
      <c r="A11" s="4" t="s">
        <v>133</v>
      </c>
      <c r="B11" s="20">
        <f>53.5-22.5</f>
        <v>31</v>
      </c>
      <c r="C11" s="20">
        <f t="shared" si="0"/>
        <v>1.899691886340294</v>
      </c>
      <c r="D11" s="84">
        <f>B11+C11</f>
        <v>32.89969188634029</v>
      </c>
      <c r="E11" s="19">
        <f>D11*$E$1</f>
        <v>1513.05682985279</v>
      </c>
      <c r="F11" s="22">
        <v>1513</v>
      </c>
      <c r="G11" s="21">
        <f>F11-E11</f>
        <v>-0.0568298527900879</v>
      </c>
      <c r="H11" s="45"/>
    </row>
    <row r="12" spans="1:7" s="8" customFormat="1" ht="15">
      <c r="A12" s="4" t="s">
        <v>283</v>
      </c>
      <c r="B12" s="20">
        <v>14.7</v>
      </c>
      <c r="C12" s="20">
        <f t="shared" si="0"/>
        <v>0.9008216364258814</v>
      </c>
      <c r="D12" s="84">
        <f t="shared" si="1"/>
        <v>15.60082163642588</v>
      </c>
      <c r="E12" s="19">
        <f t="shared" si="2"/>
        <v>717.4817870592262</v>
      </c>
      <c r="F12" s="22">
        <v>718</v>
      </c>
      <c r="G12" s="21">
        <f t="shared" si="3"/>
        <v>0.5182129407737648</v>
      </c>
    </row>
    <row r="13" spans="1:7" s="8" customFormat="1" ht="15">
      <c r="A13" s="7" t="s">
        <v>224</v>
      </c>
      <c r="B13" s="20">
        <f>58.1+22.5</f>
        <v>80.6</v>
      </c>
      <c r="C13" s="20">
        <f t="shared" si="0"/>
        <v>4.939198904484764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292.1</v>
      </c>
      <c r="C14" s="86">
        <v>17.9</v>
      </c>
      <c r="D14" s="91"/>
      <c r="E14" s="28"/>
      <c r="F14" s="28"/>
      <c r="G14" s="28"/>
    </row>
    <row r="15" ht="15">
      <c r="C15" s="88"/>
    </row>
    <row r="16" ht="23.25">
      <c r="A16" s="89" t="s">
        <v>308</v>
      </c>
    </row>
    <row r="17" spans="1:47" s="51" customFormat="1" ht="31.5">
      <c r="A17" s="51" t="s">
        <v>5</v>
      </c>
      <c r="B17" s="68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5">
      <c r="A18" s="58" t="s">
        <v>325</v>
      </c>
      <c r="B18" s="58"/>
    </row>
    <row r="19" spans="1:3" ht="26.25" customHeight="1">
      <c r="A19" s="51" t="s">
        <v>155</v>
      </c>
      <c r="B19" s="52"/>
      <c r="C19" s="52"/>
    </row>
    <row r="20" spans="1:3" ht="15">
      <c r="A20" s="93" t="s">
        <v>326</v>
      </c>
      <c r="B20" s="59"/>
      <c r="C20" s="55"/>
    </row>
    <row r="21" spans="1:3" ht="31.5">
      <c r="A21" s="51" t="s">
        <v>107</v>
      </c>
      <c r="B21" s="52"/>
      <c r="C21" s="52"/>
    </row>
    <row r="22" spans="1:3" ht="15">
      <c r="A22" s="58" t="s">
        <v>327</v>
      </c>
      <c r="B22" s="59"/>
      <c r="C22" s="55"/>
    </row>
    <row r="24" ht="31.5">
      <c r="A24" s="50" t="s">
        <v>328</v>
      </c>
    </row>
    <row r="25" ht="31.5">
      <c r="A25" s="50" t="s">
        <v>315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205</v>
      </c>
      <c r="B1" s="10">
        <v>41651</v>
      </c>
      <c r="C1" s="10"/>
      <c r="D1" s="11" t="s">
        <v>206</v>
      </c>
      <c r="E1" s="12">
        <v>45.98</v>
      </c>
      <c r="G1" s="8" t="s">
        <v>207</v>
      </c>
    </row>
    <row r="2" spans="1:2" s="8" customFormat="1" ht="23.25" customHeight="1">
      <c r="A2" s="33" t="s">
        <v>329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11</v>
      </c>
      <c r="B4" s="20">
        <v>35.9</v>
      </c>
      <c r="C4" s="20">
        <f aca="true" t="shared" si="0" ref="C4:C14">B4/$B$15*$C$15</f>
        <v>2.789832421637579</v>
      </c>
      <c r="D4" s="84">
        <f>B4+C4</f>
        <v>38.689832421637576</v>
      </c>
      <c r="E4" s="19">
        <f>D4*$E$1</f>
        <v>1778.9584947468957</v>
      </c>
      <c r="F4" s="22">
        <v>1784</v>
      </c>
      <c r="G4" s="21">
        <f>F4-E4</f>
        <v>5.041505253104333</v>
      </c>
    </row>
    <row r="5" spans="1:7" s="8" customFormat="1" ht="15">
      <c r="A5" s="4" t="s">
        <v>32</v>
      </c>
      <c r="B5" s="20">
        <v>7.3</v>
      </c>
      <c r="C5" s="20">
        <f t="shared" si="0"/>
        <v>0.5672918294694799</v>
      </c>
      <c r="D5" s="84">
        <f>B5+C5</f>
        <v>7.86729182946948</v>
      </c>
      <c r="E5" s="19">
        <f>D5*$E$1</f>
        <v>361.73807831900666</v>
      </c>
      <c r="F5" s="22"/>
      <c r="G5" s="21">
        <f>F5-E5</f>
        <v>-361.73807831900666</v>
      </c>
    </row>
    <row r="6" spans="1:7" s="8" customFormat="1" ht="15">
      <c r="A6" s="4" t="s">
        <v>125</v>
      </c>
      <c r="B6" s="20">
        <v>4.9</v>
      </c>
      <c r="C6" s="20">
        <f t="shared" si="0"/>
        <v>0.3807849266301988</v>
      </c>
      <c r="D6" s="84">
        <f>B6+C6</f>
        <v>5.280784926630199</v>
      </c>
      <c r="E6" s="19">
        <f>D6*$E$1</f>
        <v>242.81049092645654</v>
      </c>
      <c r="F6" s="22">
        <v>244</v>
      </c>
      <c r="G6" s="21">
        <f>F6-E6</f>
        <v>1.1895090735434621</v>
      </c>
    </row>
    <row r="7" spans="1:7" s="8" customFormat="1" ht="15">
      <c r="A7" s="4" t="s">
        <v>330</v>
      </c>
      <c r="B7" s="20">
        <v>8.9</v>
      </c>
      <c r="C7" s="20">
        <f t="shared" si="0"/>
        <v>0.6916297646956672</v>
      </c>
      <c r="D7" s="84">
        <f aca="true" t="shared" si="1" ref="D7:D12">B7+C7</f>
        <v>9.591629764695668</v>
      </c>
      <c r="E7" s="19">
        <f aca="true" t="shared" si="2" ref="E7:E12">D7*$E$1</f>
        <v>441.02313658070676</v>
      </c>
      <c r="F7" s="22">
        <v>447</v>
      </c>
      <c r="G7" s="21">
        <f aca="true" t="shared" si="3" ref="G7:G12">F7-E7</f>
        <v>5.976863419293238</v>
      </c>
    </row>
    <row r="8" spans="1:8" s="8" customFormat="1" ht="15">
      <c r="A8" s="4" t="s">
        <v>39</v>
      </c>
      <c r="B8" s="20">
        <v>23.85</v>
      </c>
      <c r="C8" s="20">
        <f t="shared" si="0"/>
        <v>1.8534123469653556</v>
      </c>
      <c r="D8" s="84">
        <f t="shared" si="1"/>
        <v>25.703412346965358</v>
      </c>
      <c r="E8" s="19">
        <f t="shared" si="2"/>
        <v>1181.842899713467</v>
      </c>
      <c r="F8" s="22">
        <v>1185</v>
      </c>
      <c r="G8" s="21">
        <f t="shared" si="3"/>
        <v>3.157100286533023</v>
      </c>
      <c r="H8" s="45"/>
    </row>
    <row r="9" spans="1:7" s="8" customFormat="1" ht="15">
      <c r="A9" s="4" t="s">
        <v>155</v>
      </c>
      <c r="B9" s="20">
        <v>17.9</v>
      </c>
      <c r="C9" s="20">
        <f t="shared" si="0"/>
        <v>1.391030650342971</v>
      </c>
      <c r="D9" s="84">
        <f t="shared" si="1"/>
        <v>19.291030650342968</v>
      </c>
      <c r="E9" s="19">
        <f t="shared" si="2"/>
        <v>887.0015893027696</v>
      </c>
      <c r="F9" s="22">
        <v>890</v>
      </c>
      <c r="G9" s="21">
        <f t="shared" si="3"/>
        <v>2.9984106972303834</v>
      </c>
    </row>
    <row r="10" spans="1:8" s="8" customFormat="1" ht="15">
      <c r="A10" s="4" t="s">
        <v>331</v>
      </c>
      <c r="B10" s="20">
        <v>15.9</v>
      </c>
      <c r="C10" s="20">
        <f t="shared" si="0"/>
        <v>1.235608231310237</v>
      </c>
      <c r="D10" s="84">
        <f t="shared" si="1"/>
        <v>17.135608231310236</v>
      </c>
      <c r="E10" s="19">
        <f t="shared" si="2"/>
        <v>787.8952664756446</v>
      </c>
      <c r="F10" s="22">
        <v>790</v>
      </c>
      <c r="G10" s="21">
        <f t="shared" si="3"/>
        <v>2.1047335243554244</v>
      </c>
      <c r="H10" s="45"/>
    </row>
    <row r="11" spans="1:8" s="8" customFormat="1" ht="15">
      <c r="A11" s="4" t="s">
        <v>332</v>
      </c>
      <c r="B11" s="20">
        <v>22.93</v>
      </c>
      <c r="C11" s="20">
        <f t="shared" si="0"/>
        <v>1.7819180342102976</v>
      </c>
      <c r="D11" s="84">
        <f t="shared" si="1"/>
        <v>24.711918034210296</v>
      </c>
      <c r="E11" s="19">
        <f t="shared" si="2"/>
        <v>1136.2539912129894</v>
      </c>
      <c r="F11" s="22">
        <v>1139</v>
      </c>
      <c r="G11" s="21">
        <f t="shared" si="3"/>
        <v>2.7460087870106236</v>
      </c>
      <c r="H11" s="45"/>
    </row>
    <row r="12" spans="1:8" s="8" customFormat="1" ht="15">
      <c r="A12" s="7" t="s">
        <v>97</v>
      </c>
      <c r="B12" s="20">
        <v>17</v>
      </c>
      <c r="C12" s="20">
        <f t="shared" si="0"/>
        <v>1.3210905617782407</v>
      </c>
      <c r="D12" s="84">
        <f t="shared" si="1"/>
        <v>18.32109056177824</v>
      </c>
      <c r="E12" s="19">
        <f t="shared" si="2"/>
        <v>842.4037440305635</v>
      </c>
      <c r="F12" s="22">
        <v>845</v>
      </c>
      <c r="G12" s="21">
        <f t="shared" si="3"/>
        <v>2.59625596943647</v>
      </c>
      <c r="H12" s="45"/>
    </row>
    <row r="13" spans="1:7" s="8" customFormat="1" ht="15">
      <c r="A13" s="7" t="s">
        <v>89</v>
      </c>
      <c r="B13" s="20">
        <v>18.69</v>
      </c>
      <c r="C13" s="20">
        <f t="shared" si="0"/>
        <v>1.4524225058609013</v>
      </c>
      <c r="D13" s="84">
        <f>B13+C13</f>
        <v>20.142422505860903</v>
      </c>
      <c r="E13" s="19">
        <f>D13*$E$1</f>
        <v>926.1485868194843</v>
      </c>
      <c r="F13" s="22">
        <v>929</v>
      </c>
      <c r="G13" s="21">
        <f>F13-E13</f>
        <v>2.851413180515692</v>
      </c>
    </row>
    <row r="14" spans="1:7" s="8" customFormat="1" ht="15">
      <c r="A14" s="7" t="s">
        <v>224</v>
      </c>
      <c r="B14" s="20">
        <v>57.07</v>
      </c>
      <c r="C14" s="20">
        <f t="shared" si="0"/>
        <v>4.434978727099071</v>
      </c>
      <c r="D14" s="85"/>
      <c r="E14" s="28"/>
      <c r="F14" s="28"/>
      <c r="G14" s="28"/>
    </row>
    <row r="15" spans="1:7" s="8" customFormat="1" ht="15">
      <c r="A15" s="25"/>
      <c r="B15" s="86">
        <f>SUM(B4:B14)</f>
        <v>230.34</v>
      </c>
      <c r="C15" s="86">
        <v>17.9</v>
      </c>
      <c r="D15" s="91"/>
      <c r="E15" s="28"/>
      <c r="F15" s="28"/>
      <c r="G15" s="28"/>
    </row>
    <row r="16" ht="15">
      <c r="C16" s="88"/>
    </row>
    <row r="17" ht="23.25">
      <c r="A17" s="89" t="s">
        <v>308</v>
      </c>
    </row>
    <row r="18" spans="1:47" s="51" customFormat="1" ht="31.5">
      <c r="A18" s="51" t="s">
        <v>5</v>
      </c>
      <c r="B18" s="6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5">
      <c r="A19" s="58" t="s">
        <v>325</v>
      </c>
      <c r="B19" s="58"/>
    </row>
    <row r="20" spans="1:3" ht="26.25" customHeight="1">
      <c r="A20" s="51" t="s">
        <v>89</v>
      </c>
      <c r="B20" s="52"/>
      <c r="C20" s="52"/>
    </row>
    <row r="21" spans="1:3" ht="15">
      <c r="A21" s="58" t="s">
        <v>333</v>
      </c>
      <c r="B21" s="59"/>
      <c r="C21" s="55"/>
    </row>
    <row r="22" spans="1:3" ht="31.5">
      <c r="A22" s="51" t="s">
        <v>107</v>
      </c>
      <c r="B22" s="52"/>
      <c r="C22" s="52"/>
    </row>
    <row r="23" spans="1:3" ht="15">
      <c r="A23" s="58" t="s">
        <v>327</v>
      </c>
      <c r="B23" s="59"/>
      <c r="C23" s="55"/>
    </row>
    <row r="24" spans="1:3" ht="31.5">
      <c r="A24" s="51" t="s">
        <v>11</v>
      </c>
      <c r="B24" s="52"/>
      <c r="C24" s="52"/>
    </row>
    <row r="25" spans="1:3" ht="15">
      <c r="A25" s="58" t="s">
        <v>334</v>
      </c>
      <c r="B25" s="58"/>
      <c r="C25" s="6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205</v>
      </c>
      <c r="B1" s="10">
        <v>41664</v>
      </c>
      <c r="C1" s="10"/>
      <c r="D1" s="11" t="s">
        <v>206</v>
      </c>
      <c r="E1" s="12">
        <v>46.75</v>
      </c>
      <c r="G1" s="8" t="s">
        <v>207</v>
      </c>
    </row>
    <row r="2" spans="1:2" s="8" customFormat="1" ht="23.25" customHeight="1">
      <c r="A2" s="33" t="s">
        <v>335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182</v>
      </c>
      <c r="B4" s="20">
        <v>12.9</v>
      </c>
      <c r="C4" s="20">
        <f aca="true" t="shared" si="0" ref="C4:C17">B4/$B$18*$C$18</f>
        <v>0.6315228093206432</v>
      </c>
      <c r="D4" s="84">
        <f>B4+C4</f>
        <v>13.531522809320643</v>
      </c>
      <c r="E4" s="19">
        <f>D4*$E$1</f>
        <v>632.5986913357401</v>
      </c>
      <c r="F4" s="22">
        <v>634</v>
      </c>
      <c r="G4" s="21">
        <f>F4-E4</f>
        <v>1.4013086642598864</v>
      </c>
    </row>
    <row r="5" spans="1:7" s="8" customFormat="1" ht="15">
      <c r="A5" s="4" t="s">
        <v>49</v>
      </c>
      <c r="B5" s="20">
        <v>11.45</v>
      </c>
      <c r="C5" s="20">
        <f t="shared" si="0"/>
        <v>0.5605376873427413</v>
      </c>
      <c r="D5" s="84">
        <f>B5+C5</f>
        <v>12.01053768734274</v>
      </c>
      <c r="E5" s="19">
        <f>D5*$E$1</f>
        <v>561.4926368832731</v>
      </c>
      <c r="F5" s="22">
        <v>384</v>
      </c>
      <c r="G5" s="21">
        <f>F5-E5</f>
        <v>-177.49263688327312</v>
      </c>
    </row>
    <row r="6" spans="1:7" s="8" customFormat="1" ht="15">
      <c r="A6" s="4" t="s">
        <v>125</v>
      </c>
      <c r="B6" s="20">
        <v>23.8</v>
      </c>
      <c r="C6" s="20">
        <f t="shared" si="0"/>
        <v>1.1651351055683183</v>
      </c>
      <c r="D6" s="84">
        <f>B6+C6</f>
        <v>24.96513510556832</v>
      </c>
      <c r="E6" s="19">
        <f>D6*$E$1</f>
        <v>1167.1200661853188</v>
      </c>
      <c r="F6" s="22">
        <v>1167</v>
      </c>
      <c r="G6" s="21">
        <f>F6-E6</f>
        <v>-0.12006618531881941</v>
      </c>
    </row>
    <row r="7" spans="1:7" s="8" customFormat="1" ht="15">
      <c r="A7" s="4" t="s">
        <v>66</v>
      </c>
      <c r="B7" s="20">
        <v>8.61</v>
      </c>
      <c r="C7" s="20">
        <f t="shared" si="0"/>
        <v>0.4215047587791269</v>
      </c>
      <c r="D7" s="84">
        <f aca="true" t="shared" si="1" ref="D7:D12">B7+C7</f>
        <v>9.031504758779127</v>
      </c>
      <c r="E7" s="19">
        <f aca="true" t="shared" si="2" ref="E7:E12">D7*$E$1</f>
        <v>422.2228474729242</v>
      </c>
      <c r="F7" s="22">
        <v>424</v>
      </c>
      <c r="G7" s="21">
        <f aca="true" t="shared" si="3" ref="G7:G12">F7-E7</f>
        <v>1.7771525270758275</v>
      </c>
    </row>
    <row r="8" spans="1:8" s="8" customFormat="1" ht="15">
      <c r="A8" s="4" t="s">
        <v>151</v>
      </c>
      <c r="B8" s="20">
        <v>11.83</v>
      </c>
      <c r="C8" s="20">
        <f t="shared" si="0"/>
        <v>0.5791406848266053</v>
      </c>
      <c r="D8" s="84">
        <f t="shared" si="1"/>
        <v>12.409140684826605</v>
      </c>
      <c r="E8" s="19">
        <f t="shared" si="2"/>
        <v>580.1273270156438</v>
      </c>
      <c r="F8" s="22">
        <v>581</v>
      </c>
      <c r="G8" s="21">
        <f t="shared" si="3"/>
        <v>0.8726729843561998</v>
      </c>
      <c r="H8" s="45"/>
    </row>
    <row r="9" spans="1:7" s="8" customFormat="1" ht="15">
      <c r="A9" s="4" t="s">
        <v>284</v>
      </c>
      <c r="B9" s="20">
        <v>26.5</v>
      </c>
      <c r="C9" s="20">
        <f t="shared" si="0"/>
        <v>1.297314298216825</v>
      </c>
      <c r="D9" s="84">
        <f t="shared" si="1"/>
        <v>27.797314298216826</v>
      </c>
      <c r="E9" s="19">
        <f t="shared" si="2"/>
        <v>1299.5244434416365</v>
      </c>
      <c r="F9" s="22">
        <v>1302</v>
      </c>
      <c r="G9" s="21">
        <f t="shared" si="3"/>
        <v>2.4755565583634507</v>
      </c>
    </row>
    <row r="10" spans="1:8" s="8" customFormat="1" ht="15">
      <c r="A10" s="4" t="s">
        <v>89</v>
      </c>
      <c r="B10" s="20">
        <v>6.4</v>
      </c>
      <c r="C10" s="20">
        <f t="shared" si="0"/>
        <v>0.3133136418334974</v>
      </c>
      <c r="D10" s="84">
        <f t="shared" si="1"/>
        <v>6.713313641833498</v>
      </c>
      <c r="E10" s="19">
        <f t="shared" si="2"/>
        <v>313.847412755716</v>
      </c>
      <c r="F10" s="22">
        <v>311</v>
      </c>
      <c r="G10" s="21">
        <f t="shared" si="3"/>
        <v>-2.847412755715993</v>
      </c>
      <c r="H10" s="45"/>
    </row>
    <row r="11" spans="1:8" s="8" customFormat="1" ht="15">
      <c r="A11" s="4" t="s">
        <v>336</v>
      </c>
      <c r="B11" s="20">
        <v>6.4</v>
      </c>
      <c r="C11" s="20">
        <f t="shared" si="0"/>
        <v>0.3133136418334974</v>
      </c>
      <c r="D11" s="84">
        <f t="shared" si="1"/>
        <v>6.713313641833498</v>
      </c>
      <c r="E11" s="19">
        <f t="shared" si="2"/>
        <v>313.847412755716</v>
      </c>
      <c r="F11" s="22">
        <v>315</v>
      </c>
      <c r="G11" s="21">
        <f t="shared" si="3"/>
        <v>1.1525872442840068</v>
      </c>
      <c r="H11" s="45"/>
    </row>
    <row r="12" spans="1:8" s="8" customFormat="1" ht="15">
      <c r="A12" s="7" t="s">
        <v>254</v>
      </c>
      <c r="B12" s="20">
        <v>9.4</v>
      </c>
      <c r="C12" s="20">
        <f t="shared" si="0"/>
        <v>0.4601794114429493</v>
      </c>
      <c r="D12" s="84">
        <f t="shared" si="1"/>
        <v>9.86017941144295</v>
      </c>
      <c r="E12" s="19">
        <f t="shared" si="2"/>
        <v>460.9633874849579</v>
      </c>
      <c r="F12" s="22">
        <v>462</v>
      </c>
      <c r="G12" s="21">
        <f t="shared" si="3"/>
        <v>1.0366125150421226</v>
      </c>
      <c r="H12" s="45"/>
    </row>
    <row r="13" spans="1:8" s="8" customFormat="1" ht="15">
      <c r="A13" s="7" t="s">
        <v>147</v>
      </c>
      <c r="B13" s="20">
        <v>15.5</v>
      </c>
      <c r="C13" s="20">
        <f>B13/$B$18*$C$18</f>
        <v>0.7588064763155015</v>
      </c>
      <c r="D13" s="84">
        <f>B13+C13</f>
        <v>16.258806476315502</v>
      </c>
      <c r="E13" s="19">
        <f>D13*$E$1</f>
        <v>760.0992027677497</v>
      </c>
      <c r="F13" s="22">
        <v>761</v>
      </c>
      <c r="G13" s="21">
        <f>F13-E13</f>
        <v>0.9007972322502837</v>
      </c>
      <c r="H13" s="45"/>
    </row>
    <row r="14" spans="1:8" s="8" customFormat="1" ht="15">
      <c r="A14" s="7" t="s">
        <v>110</v>
      </c>
      <c r="B14" s="20">
        <v>78.9</v>
      </c>
      <c r="C14" s="20">
        <f>B14/$B$18*$C$18</f>
        <v>3.862569740728585</v>
      </c>
      <c r="D14" s="84">
        <f>B14+C14</f>
        <v>82.7625697407286</v>
      </c>
      <c r="E14" s="19">
        <f>D14*$E$1</f>
        <v>3869.150135379062</v>
      </c>
      <c r="F14" s="22">
        <f>3876</f>
        <v>3876</v>
      </c>
      <c r="G14" s="21">
        <f>F14-E14</f>
        <v>6.849864620938206</v>
      </c>
      <c r="H14" s="45"/>
    </row>
    <row r="15" spans="1:7" s="8" customFormat="1" ht="15">
      <c r="A15" s="7" t="s">
        <v>174</v>
      </c>
      <c r="B15" s="20">
        <v>78.25</v>
      </c>
      <c r="C15" s="20">
        <f>B15/$B$18*$C$18</f>
        <v>3.83074882397987</v>
      </c>
      <c r="D15" s="84">
        <f>B15+C15</f>
        <v>82.08074882397987</v>
      </c>
      <c r="E15" s="19">
        <f>D15*$E$1</f>
        <v>3837.2750075210593</v>
      </c>
      <c r="F15" s="22">
        <v>3844</v>
      </c>
      <c r="G15" s="21">
        <f>F15-E15</f>
        <v>6.724992478940749</v>
      </c>
    </row>
    <row r="16" spans="1:7" s="8" customFormat="1" ht="15">
      <c r="A16" s="7" t="s">
        <v>8</v>
      </c>
      <c r="B16" s="20">
        <v>37</v>
      </c>
      <c r="C16" s="20">
        <f>B16/$B$18*$C$18</f>
        <v>1.8113444918499066</v>
      </c>
      <c r="D16" s="84">
        <f>B16+C16</f>
        <v>38.81134449184991</v>
      </c>
      <c r="E16" s="19">
        <f>D16*$E$1</f>
        <v>1814.4303549939832</v>
      </c>
      <c r="F16" s="22">
        <v>1818</v>
      </c>
      <c r="G16" s="21">
        <f>F16-E16</f>
        <v>3.569645006016799</v>
      </c>
    </row>
    <row r="17" spans="1:7" s="8" customFormat="1" ht="15">
      <c r="A17" s="7" t="s">
        <v>224</v>
      </c>
      <c r="B17" s="20">
        <v>38.7</v>
      </c>
      <c r="C17" s="20">
        <f t="shared" si="0"/>
        <v>1.8945684279619295</v>
      </c>
      <c r="D17" s="85"/>
      <c r="E17" s="28"/>
      <c r="F17" s="28"/>
      <c r="G17" s="28"/>
    </row>
    <row r="18" spans="1:7" s="8" customFormat="1" ht="15">
      <c r="A18" s="25"/>
      <c r="B18" s="86">
        <f>SUM(B4:B17)</f>
        <v>365.64000000000004</v>
      </c>
      <c r="C18" s="86">
        <v>17.9</v>
      </c>
      <c r="D18" s="91"/>
      <c r="E18" s="28"/>
      <c r="F18" s="28"/>
      <c r="G18" s="28"/>
    </row>
    <row r="22" ht="23.25">
      <c r="A22" s="89" t="s">
        <v>308</v>
      </c>
    </row>
    <row r="23" spans="1:47" s="51" customFormat="1" ht="31.5">
      <c r="A23" s="51" t="s">
        <v>5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58" t="s">
        <v>325</v>
      </c>
      <c r="B24" s="58"/>
    </row>
    <row r="25" spans="1:3" ht="26.25" customHeight="1">
      <c r="A25" s="51" t="s">
        <v>131</v>
      </c>
      <c r="B25" s="52"/>
      <c r="C25" s="52"/>
    </row>
    <row r="26" spans="1:3" ht="15">
      <c r="A26" s="93" t="s">
        <v>337</v>
      </c>
      <c r="B26" s="59"/>
      <c r="C26" s="55"/>
    </row>
    <row r="27" spans="1:3" ht="31.5">
      <c r="A27" s="51" t="s">
        <v>174</v>
      </c>
      <c r="B27" s="52"/>
      <c r="C27" s="52"/>
    </row>
    <row r="28" spans="1:3" ht="15">
      <c r="A28" s="58" t="s">
        <v>338</v>
      </c>
      <c r="B28" s="59"/>
      <c r="C28" s="55"/>
    </row>
    <row r="29" spans="1:3" ht="31.5">
      <c r="A29" s="51"/>
      <c r="B29" s="52"/>
      <c r="C29" s="52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205</v>
      </c>
      <c r="B1" s="10">
        <v>41220</v>
      </c>
      <c r="C1" s="10"/>
      <c r="D1" s="11" t="s">
        <v>206</v>
      </c>
      <c r="E1" s="12">
        <v>41.2</v>
      </c>
      <c r="F1" s="8" t="s">
        <v>207</v>
      </c>
    </row>
    <row r="2" ht="23.25" customHeight="1"/>
    <row r="3" spans="1:9" s="15" customFormat="1" ht="45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15" customFormat="1" ht="15">
      <c r="A4" s="4" t="s">
        <v>224</v>
      </c>
      <c r="B4" s="16">
        <v>61.099999999999994</v>
      </c>
      <c r="C4" s="16">
        <f>B4*0.95</f>
        <v>58.044999999999995</v>
      </c>
      <c r="D4" s="16">
        <f aca="true" t="shared" si="0" ref="D4:D11">B4/$B$12*$D$12</f>
        <v>6.312590100913022</v>
      </c>
      <c r="E4" s="17">
        <f>(C4+D4)*$E$1</f>
        <v>2651.5327121576165</v>
      </c>
      <c r="F4" s="18"/>
      <c r="G4" s="19"/>
      <c r="H4" s="20"/>
      <c r="I4" s="21"/>
    </row>
    <row r="5" spans="1:9" ht="15">
      <c r="A5" s="4" t="s">
        <v>161</v>
      </c>
      <c r="B5" s="16">
        <v>17.9</v>
      </c>
      <c r="C5" s="16">
        <f aca="true" t="shared" si="1" ref="C5:C11">B5*0.95</f>
        <v>17.005</v>
      </c>
      <c r="D5" s="16">
        <f t="shared" si="0"/>
        <v>1.849351273426237</v>
      </c>
      <c r="E5" s="17">
        <f aca="true" t="shared" si="2" ref="E5:E11">(C5+D5)*$E$1</f>
        <v>776.7992724651609</v>
      </c>
      <c r="F5" s="18"/>
      <c r="G5" s="19">
        <f aca="true" t="shared" si="3" ref="G5:G11">E5-F5</f>
        <v>776.7992724651609</v>
      </c>
      <c r="H5" s="22">
        <v>767</v>
      </c>
      <c r="I5" s="21">
        <f>H5-G5+F5</f>
        <v>-9.799272465160925</v>
      </c>
    </row>
    <row r="6" spans="1:9" ht="15">
      <c r="A6" s="4" t="s">
        <v>50</v>
      </c>
      <c r="B6" s="16">
        <v>24.25</v>
      </c>
      <c r="C6" s="16">
        <f t="shared" si="1"/>
        <v>23.037499999999998</v>
      </c>
      <c r="D6" s="16">
        <f t="shared" si="0"/>
        <v>2.505406054781355</v>
      </c>
      <c r="E6" s="17">
        <f t="shared" si="2"/>
        <v>1052.3677294569918</v>
      </c>
      <c r="F6" s="18"/>
      <c r="G6" s="19">
        <f t="shared" si="3"/>
        <v>1052.3677294569918</v>
      </c>
      <c r="H6" s="22">
        <v>1040</v>
      </c>
      <c r="I6" s="21">
        <f aca="true" t="shared" si="4" ref="I6:I11">H6-G6</f>
        <v>-12.36772945699181</v>
      </c>
    </row>
    <row r="7" spans="1:9" ht="15">
      <c r="A7" s="4" t="s">
        <v>176</v>
      </c>
      <c r="B7" s="16">
        <v>26.299999999999997</v>
      </c>
      <c r="C7" s="16">
        <f t="shared" si="1"/>
        <v>24.984999999999996</v>
      </c>
      <c r="D7" s="16">
        <f t="shared" si="0"/>
        <v>2.717203267659778</v>
      </c>
      <c r="E7" s="17">
        <f t="shared" si="2"/>
        <v>1141.3307746275827</v>
      </c>
      <c r="F7" s="18"/>
      <c r="G7" s="19">
        <f t="shared" si="3"/>
        <v>1141.3307746275827</v>
      </c>
      <c r="H7" s="22">
        <v>1127</v>
      </c>
      <c r="I7" s="21">
        <f t="shared" si="4"/>
        <v>-14.330774627582741</v>
      </c>
    </row>
    <row r="8" spans="1:9" ht="15">
      <c r="A8" s="4" t="s">
        <v>203</v>
      </c>
      <c r="B8" s="16">
        <v>19.8</v>
      </c>
      <c r="C8" s="16">
        <f t="shared" si="1"/>
        <v>18.81</v>
      </c>
      <c r="D8" s="16">
        <f t="shared" si="0"/>
        <v>2.0456511292647765</v>
      </c>
      <c r="E8" s="17">
        <f t="shared" si="2"/>
        <v>859.2528265257088</v>
      </c>
      <c r="F8" s="18"/>
      <c r="G8" s="19">
        <f t="shared" si="3"/>
        <v>859.2528265257088</v>
      </c>
      <c r="H8" s="22">
        <v>848</v>
      </c>
      <c r="I8" s="21">
        <f t="shared" si="4"/>
        <v>-11.25282652570877</v>
      </c>
    </row>
    <row r="9" spans="1:9" ht="15">
      <c r="A9" s="4" t="s">
        <v>174</v>
      </c>
      <c r="B9" s="16">
        <v>18</v>
      </c>
      <c r="C9" s="16">
        <f t="shared" si="1"/>
        <v>17.099999999999998</v>
      </c>
      <c r="D9" s="16">
        <f t="shared" si="0"/>
        <v>1.8596828447861604</v>
      </c>
      <c r="E9" s="17">
        <f t="shared" si="2"/>
        <v>781.1389332051898</v>
      </c>
      <c r="F9" s="18"/>
      <c r="G9" s="19">
        <f t="shared" si="3"/>
        <v>781.1389332051898</v>
      </c>
      <c r="H9" s="22">
        <v>771</v>
      </c>
      <c r="I9" s="21">
        <f t="shared" si="4"/>
        <v>-10.138933205189801</v>
      </c>
    </row>
    <row r="10" spans="1:10" ht="15">
      <c r="A10" s="4" t="s">
        <v>42</v>
      </c>
      <c r="B10" s="16">
        <v>3.45</v>
      </c>
      <c r="C10" s="16">
        <f t="shared" si="1"/>
        <v>3.2775</v>
      </c>
      <c r="D10" s="16">
        <f t="shared" si="0"/>
        <v>0.35643921191734745</v>
      </c>
      <c r="E10" s="17">
        <f t="shared" si="2"/>
        <v>149.71829553099474</v>
      </c>
      <c r="F10" s="18"/>
      <c r="G10" s="19">
        <f t="shared" si="3"/>
        <v>149.71829553099474</v>
      </c>
      <c r="H10" s="22">
        <v>148</v>
      </c>
      <c r="I10" s="21">
        <f>H10-G10+2</f>
        <v>0.2817044690052626</v>
      </c>
      <c r="J10" s="32" t="s">
        <v>225</v>
      </c>
    </row>
    <row r="11" spans="1:9" ht="15">
      <c r="A11" s="4" t="s">
        <v>188</v>
      </c>
      <c r="B11" s="16">
        <v>37.3</v>
      </c>
      <c r="C11" s="16">
        <f t="shared" si="1"/>
        <v>35.434999999999995</v>
      </c>
      <c r="D11" s="16">
        <f t="shared" si="0"/>
        <v>3.853676117251321</v>
      </c>
      <c r="E11" s="17">
        <f t="shared" si="2"/>
        <v>1618.6934560307543</v>
      </c>
      <c r="F11" s="18"/>
      <c r="G11" s="19">
        <f t="shared" si="3"/>
        <v>1618.6934560307543</v>
      </c>
      <c r="H11" s="22">
        <v>1598</v>
      </c>
      <c r="I11" s="21">
        <f t="shared" si="4"/>
        <v>-20.693456030754305</v>
      </c>
    </row>
    <row r="12" spans="1:9" ht="15">
      <c r="A12" s="25"/>
      <c r="B12" s="26">
        <f>SUM(B4:B11)</f>
        <v>208.10000000000002</v>
      </c>
      <c r="C12" s="26">
        <f>SUM(C4:C11)</f>
        <v>197.695</v>
      </c>
      <c r="D12" s="26">
        <v>21.5</v>
      </c>
      <c r="E12" s="27">
        <f>B12*$E$1</f>
        <v>8573.720000000001</v>
      </c>
      <c r="F12" s="28"/>
      <c r="G12" s="28"/>
      <c r="H12" s="28"/>
      <c r="I12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205</v>
      </c>
      <c r="B1" s="10">
        <v>41682</v>
      </c>
      <c r="C1" s="10"/>
      <c r="D1" s="11" t="s">
        <v>206</v>
      </c>
      <c r="E1" s="12">
        <v>48.38</v>
      </c>
      <c r="G1" s="8" t="s">
        <v>207</v>
      </c>
    </row>
    <row r="2" spans="1:2" s="8" customFormat="1" ht="23.25" customHeight="1">
      <c r="A2" s="33" t="s">
        <v>339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175</v>
      </c>
      <c r="B4" s="20">
        <v>20.4</v>
      </c>
      <c r="C4" s="20">
        <f aca="true" t="shared" si="0" ref="C4:C16">B4/$B$17*$C$17</f>
        <v>1.1749790848831971</v>
      </c>
      <c r="D4" s="84">
        <f>B4+C4</f>
        <v>21.574979084883196</v>
      </c>
      <c r="E4" s="19">
        <f>D4*$E$1</f>
        <v>1043.7974881266491</v>
      </c>
      <c r="F4" s="22">
        <v>1041</v>
      </c>
      <c r="G4" s="21">
        <f>F4-E4</f>
        <v>-2.797488126649114</v>
      </c>
    </row>
    <row r="5" spans="1:7" s="8" customFormat="1" ht="15">
      <c r="A5" s="4" t="s">
        <v>61</v>
      </c>
      <c r="B5" s="20">
        <v>45.08</v>
      </c>
      <c r="C5" s="20">
        <f t="shared" si="0"/>
        <v>2.596473389536006</v>
      </c>
      <c r="D5" s="84">
        <f>B5+C5</f>
        <v>47.67647338953601</v>
      </c>
      <c r="E5" s="19">
        <f>D5*$E$1</f>
        <v>2306.587782585752</v>
      </c>
      <c r="F5" s="22">
        <v>2306</v>
      </c>
      <c r="G5" s="21">
        <f>F5-E5</f>
        <v>-0.5877825857519383</v>
      </c>
    </row>
    <row r="6" spans="1:7" s="8" customFormat="1" ht="15">
      <c r="A6" s="4" t="s">
        <v>48</v>
      </c>
      <c r="B6" s="20">
        <v>20.8</v>
      </c>
      <c r="C6" s="20">
        <f t="shared" si="0"/>
        <v>1.198017890469142</v>
      </c>
      <c r="D6" s="84">
        <f>B6+C6</f>
        <v>21.998017890469143</v>
      </c>
      <c r="E6" s="19">
        <f>D6*$E$1</f>
        <v>1064.2641055408972</v>
      </c>
      <c r="F6" s="22">
        <v>1100</v>
      </c>
      <c r="G6" s="21">
        <f>F6-E6</f>
        <v>35.73589445910284</v>
      </c>
    </row>
    <row r="7" spans="1:7" s="8" customFormat="1" ht="15">
      <c r="A7" s="4" t="s">
        <v>95</v>
      </c>
      <c r="B7" s="20">
        <v>20.5</v>
      </c>
      <c r="C7" s="20">
        <f t="shared" si="0"/>
        <v>1.1807387862796832</v>
      </c>
      <c r="D7" s="84">
        <f aca="true" t="shared" si="1" ref="D7:D12">B7+C7</f>
        <v>21.680738786279683</v>
      </c>
      <c r="E7" s="19">
        <f aca="true" t="shared" si="2" ref="E7:E12">D7*$E$1</f>
        <v>1048.914142480211</v>
      </c>
      <c r="F7" s="22">
        <f>1048+272+60</f>
        <v>1380</v>
      </c>
      <c r="G7" s="21">
        <f aca="true" t="shared" si="3" ref="G7:G12">F7-E7</f>
        <v>331.085857519789</v>
      </c>
    </row>
    <row r="8" spans="1:8" s="8" customFormat="1" ht="15">
      <c r="A8" s="4" t="s">
        <v>32</v>
      </c>
      <c r="B8" s="20">
        <v>27.7</v>
      </c>
      <c r="C8" s="20">
        <f t="shared" si="0"/>
        <v>1.5954372868266942</v>
      </c>
      <c r="D8" s="84">
        <f t="shared" si="1"/>
        <v>29.295437286826694</v>
      </c>
      <c r="E8" s="19">
        <f t="shared" si="2"/>
        <v>1417.3132559366754</v>
      </c>
      <c r="F8" s="22">
        <f>300+1100</f>
        <v>1400</v>
      </c>
      <c r="G8" s="21">
        <f t="shared" si="3"/>
        <v>-17.313255936675432</v>
      </c>
      <c r="H8" s="45"/>
    </row>
    <row r="9" spans="1:7" s="8" customFormat="1" ht="15">
      <c r="A9" s="4" t="s">
        <v>12</v>
      </c>
      <c r="B9" s="20">
        <v>13.8</v>
      </c>
      <c r="C9" s="20">
        <f t="shared" si="0"/>
        <v>0.7948387927151039</v>
      </c>
      <c r="D9" s="84">
        <f t="shared" si="1"/>
        <v>14.594838792715105</v>
      </c>
      <c r="E9" s="19">
        <f t="shared" si="2"/>
        <v>706.0983007915569</v>
      </c>
      <c r="F9" s="22">
        <v>706</v>
      </c>
      <c r="G9" s="21">
        <f t="shared" si="3"/>
        <v>-0.09830079155688054</v>
      </c>
    </row>
    <row r="10" spans="1:8" s="8" customFormat="1" ht="15">
      <c r="A10" s="4" t="s">
        <v>159</v>
      </c>
      <c r="B10" s="20">
        <v>28.85</v>
      </c>
      <c r="C10" s="20">
        <f t="shared" si="0"/>
        <v>1.6616738528862862</v>
      </c>
      <c r="D10" s="84">
        <f t="shared" si="1"/>
        <v>30.511673852886286</v>
      </c>
      <c r="E10" s="19">
        <f t="shared" si="2"/>
        <v>1476.1547810026386</v>
      </c>
      <c r="F10" s="22">
        <v>1477</v>
      </c>
      <c r="G10" s="21">
        <f t="shared" si="3"/>
        <v>0.8452189973613713</v>
      </c>
      <c r="H10" s="45"/>
    </row>
    <row r="11" spans="1:8" s="8" customFormat="1" ht="15">
      <c r="A11" s="4" t="s">
        <v>54</v>
      </c>
      <c r="B11" s="20">
        <v>9.95</v>
      </c>
      <c r="C11" s="20">
        <f t="shared" si="0"/>
        <v>0.5730902889503828</v>
      </c>
      <c r="D11" s="84">
        <f t="shared" si="1"/>
        <v>10.523090288950382</v>
      </c>
      <c r="E11" s="19">
        <f t="shared" si="2"/>
        <v>509.10710817941947</v>
      </c>
      <c r="F11" s="22">
        <v>509</v>
      </c>
      <c r="G11" s="21">
        <f t="shared" si="3"/>
        <v>-0.1071081794194697</v>
      </c>
      <c r="H11" s="45"/>
    </row>
    <row r="12" spans="1:8" s="8" customFormat="1" ht="15">
      <c r="A12" s="7" t="s">
        <v>89</v>
      </c>
      <c r="B12" s="20">
        <v>30.92</v>
      </c>
      <c r="C12" s="20">
        <f t="shared" si="0"/>
        <v>1.7808996717935517</v>
      </c>
      <c r="D12" s="84">
        <f t="shared" si="1"/>
        <v>32.70089967179355</v>
      </c>
      <c r="E12" s="19">
        <f t="shared" si="2"/>
        <v>1582.069526121372</v>
      </c>
      <c r="F12" s="22">
        <v>1581</v>
      </c>
      <c r="G12" s="21">
        <f t="shared" si="3"/>
        <v>-1.0695261213720642</v>
      </c>
      <c r="H12" s="45"/>
    </row>
    <row r="13" spans="1:8" s="8" customFormat="1" ht="15">
      <c r="A13" s="7" t="s">
        <v>5</v>
      </c>
      <c r="B13" s="20">
        <v>12.9</v>
      </c>
      <c r="C13" s="20">
        <f t="shared" si="0"/>
        <v>0.7430014801467276</v>
      </c>
      <c r="D13" s="84">
        <f>B13+C13</f>
        <v>13.643001480146728</v>
      </c>
      <c r="E13" s="19">
        <f>D13*$E$1</f>
        <v>660.0484116094988</v>
      </c>
      <c r="F13" s="22">
        <v>659</v>
      </c>
      <c r="G13" s="21">
        <f>F13-E13</f>
        <v>-1.0484116094987712</v>
      </c>
      <c r="H13" s="45"/>
    </row>
    <row r="14" spans="1:8" s="8" customFormat="1" ht="15">
      <c r="A14" s="7" t="s">
        <v>127</v>
      </c>
      <c r="B14" s="20">
        <v>11.5</v>
      </c>
      <c r="C14" s="20">
        <f t="shared" si="0"/>
        <v>0.6623656605959201</v>
      </c>
      <c r="D14" s="84">
        <f>B14+C14</f>
        <v>12.16236566059592</v>
      </c>
      <c r="E14" s="19">
        <f>D14*$E$1</f>
        <v>588.4152506596307</v>
      </c>
      <c r="F14" s="22">
        <f>577</f>
        <v>577</v>
      </c>
      <c r="G14" s="21">
        <f>F14-E14</f>
        <v>-11.415250659630715</v>
      </c>
      <c r="H14" s="45"/>
    </row>
    <row r="15" spans="1:8" s="8" customFormat="1" ht="15">
      <c r="A15" s="7" t="s">
        <v>140</v>
      </c>
      <c r="B15" s="20">
        <v>27.5</v>
      </c>
      <c r="C15" s="20">
        <f t="shared" si="0"/>
        <v>1.5839178840337216</v>
      </c>
      <c r="D15" s="84">
        <f>B15+C15</f>
        <v>29.08391788403372</v>
      </c>
      <c r="E15" s="19">
        <f>D15*$E$1</f>
        <v>1407.0799472295514</v>
      </c>
      <c r="F15" s="22">
        <f>1721</f>
        <v>1721</v>
      </c>
      <c r="G15" s="21">
        <f>F15-E15-314</f>
        <v>-0.07994722955140787</v>
      </c>
      <c r="H15" s="8" t="s">
        <v>340</v>
      </c>
    </row>
    <row r="16" spans="1:7" s="8" customFormat="1" ht="15">
      <c r="A16" s="7" t="s">
        <v>224</v>
      </c>
      <c r="B16" s="20">
        <v>40.88</v>
      </c>
      <c r="C16" s="20">
        <f t="shared" si="0"/>
        <v>2.3545659308835836</v>
      </c>
      <c r="D16" s="85">
        <f>B16+C16</f>
        <v>43.23456593088358</v>
      </c>
      <c r="E16" s="28"/>
      <c r="F16" s="28"/>
      <c r="G16" s="28"/>
    </row>
    <row r="17" spans="1:7" s="8" customFormat="1" ht="15">
      <c r="A17" s="25"/>
      <c r="B17" s="86">
        <v>310.78</v>
      </c>
      <c r="C17" s="86">
        <v>17.9</v>
      </c>
      <c r="D17" s="91"/>
      <c r="E17" s="28"/>
      <c r="F17" s="28"/>
      <c r="G17" s="28"/>
    </row>
    <row r="20" ht="23.25">
      <c r="A20" s="89" t="s">
        <v>308</v>
      </c>
    </row>
    <row r="21" spans="1:47" s="51" customFormat="1" ht="31.5">
      <c r="A21" s="51" t="s">
        <v>175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5">
      <c r="A22" s="59" t="s">
        <v>341</v>
      </c>
      <c r="B22" s="58"/>
    </row>
    <row r="23" spans="1:3" ht="15">
      <c r="A23" s="58"/>
      <c r="B23" s="59"/>
      <c r="C23" s="55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205</v>
      </c>
      <c r="B1" s="10">
        <v>41682</v>
      </c>
      <c r="C1" s="10"/>
      <c r="D1" s="11" t="s">
        <v>206</v>
      </c>
      <c r="E1" s="12">
        <v>48.38</v>
      </c>
      <c r="G1" s="8" t="s">
        <v>207</v>
      </c>
    </row>
    <row r="2" spans="1:2" s="8" customFormat="1" ht="23.25" customHeight="1">
      <c r="A2" s="33" t="s">
        <v>339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191</v>
      </c>
      <c r="B4" s="20">
        <v>17.85</v>
      </c>
      <c r="C4" s="20">
        <f aca="true" t="shared" si="0" ref="C4:C20">B4/$B$21*$C$21</f>
        <v>1.0398171049205935</v>
      </c>
      <c r="D4" s="84">
        <f>B4+C4</f>
        <v>18.889817104920596</v>
      </c>
      <c r="E4" s="19">
        <f>D4*$E$1</f>
        <v>913.8893515360585</v>
      </c>
      <c r="F4" s="22">
        <v>914</v>
      </c>
      <c r="G4" s="21">
        <f>F4-E4</f>
        <v>0.11064846394151573</v>
      </c>
    </row>
    <row r="5" spans="1:7" s="8" customFormat="1" ht="15">
      <c r="A5" s="4" t="s">
        <v>330</v>
      </c>
      <c r="B5" s="20">
        <v>9.9</v>
      </c>
      <c r="C5" s="20">
        <f t="shared" si="0"/>
        <v>0.5767052850820098</v>
      </c>
      <c r="D5" s="84">
        <f>B5+C5</f>
        <v>10.47670528508201</v>
      </c>
      <c r="E5" s="19">
        <f>D5*$E$1</f>
        <v>506.8630016922677</v>
      </c>
      <c r="F5" s="22">
        <f>475+30</f>
        <v>505</v>
      </c>
      <c r="G5" s="21">
        <f>F5-E5</f>
        <v>-1.8630016922676873</v>
      </c>
    </row>
    <row r="6" spans="1:7" s="8" customFormat="1" ht="15">
      <c r="A6" s="4" t="s">
        <v>170</v>
      </c>
      <c r="B6" s="20">
        <v>11.5</v>
      </c>
      <c r="C6" s="20">
        <f t="shared" si="0"/>
        <v>0.6699101796407184</v>
      </c>
      <c r="D6" s="84">
        <f>B6+C6</f>
        <v>12.169910179640718</v>
      </c>
      <c r="E6" s="19">
        <f>D6*$E$1</f>
        <v>588.780254491018</v>
      </c>
      <c r="F6" s="22">
        <v>589</v>
      </c>
      <c r="G6" s="21">
        <f>F6-E6</f>
        <v>0.21974550898198686</v>
      </c>
    </row>
    <row r="7" spans="1:7" s="8" customFormat="1" ht="15">
      <c r="A7" s="4" t="s">
        <v>103</v>
      </c>
      <c r="B7" s="20">
        <v>9.95</v>
      </c>
      <c r="C7" s="20">
        <f t="shared" si="0"/>
        <v>0.5796179380369694</v>
      </c>
      <c r="D7" s="84">
        <f aca="true" t="shared" si="1" ref="D7:D15">B7+C7</f>
        <v>10.529617938036969</v>
      </c>
      <c r="E7" s="19">
        <f aca="true" t="shared" si="2" ref="E7:E15">D7*$E$1</f>
        <v>509.4229158422286</v>
      </c>
      <c r="F7" s="22">
        <v>509</v>
      </c>
      <c r="G7" s="21">
        <f aca="true" t="shared" si="3" ref="G7:G15">F7-E7</f>
        <v>-0.42291584222857637</v>
      </c>
    </row>
    <row r="8" spans="1:8" s="8" customFormat="1" ht="15">
      <c r="A8" s="4" t="s">
        <v>126</v>
      </c>
      <c r="B8" s="20">
        <v>9.95</v>
      </c>
      <c r="C8" s="20">
        <f t="shared" si="0"/>
        <v>0.5796179380369694</v>
      </c>
      <c r="D8" s="84">
        <f t="shared" si="1"/>
        <v>10.529617938036969</v>
      </c>
      <c r="E8" s="19">
        <f t="shared" si="2"/>
        <v>509.4229158422286</v>
      </c>
      <c r="F8" s="22">
        <v>509</v>
      </c>
      <c r="G8" s="21">
        <f t="shared" si="3"/>
        <v>-0.42291584222857637</v>
      </c>
      <c r="H8" s="45"/>
    </row>
    <row r="9" spans="1:7" s="8" customFormat="1" ht="15">
      <c r="A9" s="4" t="s">
        <v>188</v>
      </c>
      <c r="B9" s="20">
        <v>7.5</v>
      </c>
      <c r="C9" s="20">
        <f t="shared" si="0"/>
        <v>0.4368979432439468</v>
      </c>
      <c r="D9" s="84">
        <f t="shared" si="1"/>
        <v>7.936897943243947</v>
      </c>
      <c r="E9" s="19">
        <f t="shared" si="2"/>
        <v>383.98712249414217</v>
      </c>
      <c r="F9" s="22">
        <v>384</v>
      </c>
      <c r="G9" s="21">
        <f t="shared" si="3"/>
        <v>0.012877505857829874</v>
      </c>
    </row>
    <row r="10" spans="1:8" s="8" customFormat="1" ht="15">
      <c r="A10" s="4" t="s">
        <v>204</v>
      </c>
      <c r="B10" s="20">
        <v>11.95</v>
      </c>
      <c r="C10" s="20">
        <f t="shared" si="0"/>
        <v>0.6961240562353552</v>
      </c>
      <c r="D10" s="84">
        <f t="shared" si="1"/>
        <v>12.646124056235355</v>
      </c>
      <c r="E10" s="19">
        <f t="shared" si="2"/>
        <v>611.8194818406665</v>
      </c>
      <c r="F10" s="22">
        <v>612</v>
      </c>
      <c r="G10" s="21">
        <f t="shared" si="3"/>
        <v>0.1805181593334737</v>
      </c>
      <c r="H10" s="45"/>
    </row>
    <row r="11" spans="1:8" s="8" customFormat="1" ht="15">
      <c r="A11" s="4" t="s">
        <v>193</v>
      </c>
      <c r="B11" s="20">
        <v>11.95</v>
      </c>
      <c r="C11" s="20">
        <f t="shared" si="0"/>
        <v>0.6961240562353552</v>
      </c>
      <c r="D11" s="84">
        <f t="shared" si="1"/>
        <v>12.646124056235355</v>
      </c>
      <c r="E11" s="19">
        <f t="shared" si="2"/>
        <v>611.8194818406665</v>
      </c>
      <c r="F11" s="22">
        <v>612</v>
      </c>
      <c r="G11" s="21">
        <f t="shared" si="3"/>
        <v>0.1805181593334737</v>
      </c>
      <c r="H11" s="45"/>
    </row>
    <row r="12" spans="1:8" s="8" customFormat="1" ht="15">
      <c r="A12" s="7" t="s">
        <v>342</v>
      </c>
      <c r="B12" s="20">
        <v>6.45</v>
      </c>
      <c r="C12" s="20">
        <f t="shared" si="0"/>
        <v>0.37573223118979426</v>
      </c>
      <c r="D12" s="84">
        <f>B12+C12</f>
        <v>6.825732231189795</v>
      </c>
      <c r="E12" s="19">
        <f>D12*$E$1</f>
        <v>330.2289253449623</v>
      </c>
      <c r="F12" s="22">
        <v>330</v>
      </c>
      <c r="G12" s="21">
        <f>F12-E12</f>
        <v>-0.2289253449623061</v>
      </c>
      <c r="H12" s="45"/>
    </row>
    <row r="13" spans="1:8" s="8" customFormat="1" ht="15">
      <c r="A13" s="7" t="s">
        <v>142</v>
      </c>
      <c r="B13" s="20">
        <v>24.5</v>
      </c>
      <c r="C13" s="20">
        <f t="shared" si="0"/>
        <v>1.4271999479302262</v>
      </c>
      <c r="D13" s="84">
        <f>B13+C13</f>
        <v>25.927199947930227</v>
      </c>
      <c r="E13" s="19">
        <f>D13*$E$1</f>
        <v>1254.3579334808644</v>
      </c>
      <c r="F13" s="22">
        <v>1254</v>
      </c>
      <c r="G13" s="21">
        <f>F13-E13</f>
        <v>-0.35793348086440346</v>
      </c>
      <c r="H13" s="45"/>
    </row>
    <row r="14" spans="1:8" s="8" customFormat="1" ht="15">
      <c r="A14" s="7" t="s">
        <v>133</v>
      </c>
      <c r="B14" s="20">
        <v>7.83</v>
      </c>
      <c r="C14" s="20">
        <f t="shared" si="0"/>
        <v>0.4561214527466805</v>
      </c>
      <c r="D14" s="84">
        <f>B14+C14</f>
        <v>8.28612145274668</v>
      </c>
      <c r="E14" s="19">
        <f>D14*$E$1</f>
        <v>400.88255588388444</v>
      </c>
      <c r="F14" s="22">
        <v>401</v>
      </c>
      <c r="G14" s="21">
        <f>F14-E14</f>
        <v>0.11744411611556416</v>
      </c>
      <c r="H14" s="45"/>
    </row>
    <row r="15" spans="1:8" s="8" customFormat="1" ht="15">
      <c r="A15" s="7" t="s">
        <v>68</v>
      </c>
      <c r="B15" s="20">
        <v>21.1</v>
      </c>
      <c r="C15" s="20">
        <f t="shared" si="0"/>
        <v>1.2291395469929707</v>
      </c>
      <c r="D15" s="84">
        <f t="shared" si="1"/>
        <v>22.329139546992973</v>
      </c>
      <c r="E15" s="19">
        <f t="shared" si="2"/>
        <v>1080.28377128352</v>
      </c>
      <c r="F15" s="22">
        <v>1080</v>
      </c>
      <c r="G15" s="21">
        <f t="shared" si="3"/>
        <v>-0.28377128352008185</v>
      </c>
      <c r="H15" s="45"/>
    </row>
    <row r="16" spans="1:8" s="8" customFormat="1" ht="15">
      <c r="A16" s="7" t="s">
        <v>155</v>
      </c>
      <c r="B16" s="20">
        <v>10.9</v>
      </c>
      <c r="C16" s="20">
        <f t="shared" si="0"/>
        <v>0.6349583441812027</v>
      </c>
      <c r="D16" s="84">
        <f>B16+C16</f>
        <v>11.534958344181202</v>
      </c>
      <c r="E16" s="19">
        <f>D16*$E$1</f>
        <v>558.0612846914865</v>
      </c>
      <c r="F16" s="22">
        <f>609</f>
        <v>609</v>
      </c>
      <c r="G16" s="21">
        <f>F16-E16-54</f>
        <v>-3.0612846914865486</v>
      </c>
      <c r="H16" s="45" t="s">
        <v>343</v>
      </c>
    </row>
    <row r="17" spans="1:8" s="8" customFormat="1" ht="15">
      <c r="A17" s="7" t="s">
        <v>24</v>
      </c>
      <c r="B17" s="20">
        <v>53.8</v>
      </c>
      <c r="C17" s="20">
        <f t="shared" si="0"/>
        <v>3.1340145795365784</v>
      </c>
      <c r="D17" s="84">
        <f>B17+C17</f>
        <v>56.93401457953657</v>
      </c>
      <c r="E17" s="19">
        <f>D17*$E$1</f>
        <v>2754.4676253579796</v>
      </c>
      <c r="F17" s="22">
        <v>2754</v>
      </c>
      <c r="G17" s="21">
        <f>F17-E17</f>
        <v>-0.4676253579796139</v>
      </c>
      <c r="H17" s="45"/>
    </row>
    <row r="18" spans="1:8" s="8" customFormat="1" ht="15">
      <c r="A18" s="7" t="s">
        <v>97</v>
      </c>
      <c r="B18" s="20">
        <v>47.8</v>
      </c>
      <c r="C18" s="20">
        <f t="shared" si="0"/>
        <v>2.784496224941421</v>
      </c>
      <c r="D18" s="84">
        <f>B18+C18</f>
        <v>50.58449622494142</v>
      </c>
      <c r="E18" s="19">
        <f>D18*$E$1</f>
        <v>2447.277927362666</v>
      </c>
      <c r="F18" s="22">
        <v>2443</v>
      </c>
      <c r="G18" s="21">
        <f>F18-E18</f>
        <v>-4.277927362666105</v>
      </c>
      <c r="H18" s="45"/>
    </row>
    <row r="19" spans="1:7" s="8" customFormat="1" ht="15">
      <c r="A19" s="7" t="s">
        <v>118</v>
      </c>
      <c r="B19" s="20">
        <v>25.8</v>
      </c>
      <c r="C19" s="20">
        <f t="shared" si="0"/>
        <v>1.502928924759177</v>
      </c>
      <c r="D19" s="84">
        <f>B19+C19</f>
        <v>27.30292892475918</v>
      </c>
      <c r="E19" s="19">
        <f>D19*$E$1</f>
        <v>1320.9157013798492</v>
      </c>
      <c r="F19" s="22">
        <v>1320</v>
      </c>
      <c r="G19" s="21">
        <f>F19-E19</f>
        <v>-0.9157013798492244</v>
      </c>
    </row>
    <row r="20" spans="1:7" s="8" customFormat="1" ht="15">
      <c r="A20" s="7" t="s">
        <v>242</v>
      </c>
      <c r="B20" s="20">
        <v>18.55</v>
      </c>
      <c r="C20" s="20">
        <f t="shared" si="0"/>
        <v>1.0805942462900284</v>
      </c>
      <c r="D20" s="85">
        <f>B20+C20</f>
        <v>19.63059424629003</v>
      </c>
      <c r="E20" s="28"/>
      <c r="F20" s="28"/>
      <c r="G20" s="28"/>
    </row>
    <row r="21" spans="1:7" s="8" customFormat="1" ht="15">
      <c r="A21" s="25"/>
      <c r="B21" s="86">
        <f>SUM(B4:B20)</f>
        <v>307.28000000000003</v>
      </c>
      <c r="C21" s="86">
        <v>17.9</v>
      </c>
      <c r="D21" s="91"/>
      <c r="E21" s="28"/>
      <c r="F21" s="28"/>
      <c r="G21" s="28"/>
    </row>
    <row r="27" spans="1:47" s="51" customFormat="1" ht="31.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8" customFormat="1" ht="21.75" customHeight="1">
      <c r="A1" s="9" t="s">
        <v>205</v>
      </c>
      <c r="B1" s="10">
        <v>41701</v>
      </c>
      <c r="C1" s="10"/>
      <c r="D1" s="11" t="s">
        <v>206</v>
      </c>
      <c r="E1" s="12">
        <v>50.96</v>
      </c>
      <c r="G1" s="8" t="s">
        <v>207</v>
      </c>
    </row>
    <row r="2" spans="1:2" s="8" customFormat="1" ht="23.25" customHeight="1">
      <c r="A2" s="33" t="s">
        <v>344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71</v>
      </c>
      <c r="B4" s="20">
        <v>43.25</v>
      </c>
      <c r="C4" s="20">
        <f aca="true" t="shared" si="0" ref="C4:C13">B4/$B$14*$C$14</f>
        <v>2.8058968504222395</v>
      </c>
      <c r="D4" s="84">
        <f aca="true" t="shared" si="1" ref="D4:D12">B4+C4</f>
        <v>46.055896850422236</v>
      </c>
      <c r="E4" s="19">
        <f aca="true" t="shared" si="2" ref="E4:E12">D4*$E$1</f>
        <v>2347.0085034975173</v>
      </c>
      <c r="F4" s="22">
        <f>2329+18</f>
        <v>2347</v>
      </c>
      <c r="G4" s="21">
        <f aca="true" t="shared" si="3" ref="G4:G12">F4-E4</f>
        <v>-0.008503497517267533</v>
      </c>
    </row>
    <row r="5" spans="1:7" s="8" customFormat="1" ht="15">
      <c r="A5" s="4" t="s">
        <v>27</v>
      </c>
      <c r="B5" s="20">
        <v>10.9</v>
      </c>
      <c r="C5" s="20">
        <f t="shared" si="0"/>
        <v>0.7071508825341597</v>
      </c>
      <c r="D5" s="84">
        <f t="shared" si="1"/>
        <v>11.60715088253416</v>
      </c>
      <c r="E5" s="19">
        <f t="shared" si="2"/>
        <v>591.5004089739408</v>
      </c>
      <c r="F5" s="22">
        <f>587+5</f>
        <v>592</v>
      </c>
      <c r="G5" s="21">
        <f t="shared" si="3"/>
        <v>0.4995910260591927</v>
      </c>
    </row>
    <row r="6" spans="1:7" s="8" customFormat="1" ht="15">
      <c r="A6" s="4" t="s">
        <v>197</v>
      </c>
      <c r="B6" s="20">
        <v>26.2</v>
      </c>
      <c r="C6" s="20">
        <f t="shared" si="0"/>
        <v>1.6997571671922005</v>
      </c>
      <c r="D6" s="84">
        <f t="shared" si="1"/>
        <v>27.8997571671922</v>
      </c>
      <c r="E6" s="19">
        <f t="shared" si="2"/>
        <v>1421.7716252401144</v>
      </c>
      <c r="F6" s="22">
        <f>1411+10</f>
        <v>1421</v>
      </c>
      <c r="G6" s="21">
        <f t="shared" si="3"/>
        <v>-0.7716252401144175</v>
      </c>
    </row>
    <row r="7" spans="1:7" s="8" customFormat="1" ht="15">
      <c r="A7" s="4" t="s">
        <v>345</v>
      </c>
      <c r="B7" s="20">
        <v>21.9</v>
      </c>
      <c r="C7" s="20">
        <f t="shared" si="0"/>
        <v>1.420789387843862</v>
      </c>
      <c r="D7" s="84">
        <f t="shared" si="1"/>
        <v>23.32078938784386</v>
      </c>
      <c r="E7" s="19">
        <f t="shared" si="2"/>
        <v>1188.4274272045232</v>
      </c>
      <c r="F7" s="22">
        <f>1179+9</f>
        <v>1188</v>
      </c>
      <c r="G7" s="21">
        <f t="shared" si="3"/>
        <v>-0.4274272045231555</v>
      </c>
    </row>
    <row r="8" spans="1:8" s="8" customFormat="1" ht="15">
      <c r="A8" s="4" t="s">
        <v>24</v>
      </c>
      <c r="B8" s="20">
        <v>13</v>
      </c>
      <c r="C8" s="20">
        <f t="shared" si="0"/>
        <v>0.8433909608205575</v>
      </c>
      <c r="D8" s="84">
        <f t="shared" si="1"/>
        <v>13.843390960820557</v>
      </c>
      <c r="E8" s="19">
        <f t="shared" si="2"/>
        <v>705.4592033634156</v>
      </c>
      <c r="F8" s="22">
        <v>701</v>
      </c>
      <c r="G8" s="21">
        <f>F8-E8+22</f>
        <v>17.540796636584446</v>
      </c>
      <c r="H8" s="45" t="s">
        <v>346</v>
      </c>
    </row>
    <row r="9" spans="1:7" s="8" customFormat="1" ht="15">
      <c r="A9" s="4" t="s">
        <v>113</v>
      </c>
      <c r="B9" s="20">
        <v>29.9</v>
      </c>
      <c r="C9" s="20">
        <f t="shared" si="0"/>
        <v>1.939799209887282</v>
      </c>
      <c r="D9" s="84">
        <f t="shared" si="1"/>
        <v>31.839799209887282</v>
      </c>
      <c r="E9" s="19">
        <f t="shared" si="2"/>
        <v>1622.556167735856</v>
      </c>
      <c r="F9" s="22">
        <v>1610</v>
      </c>
      <c r="G9" s="21">
        <f t="shared" si="3"/>
        <v>-12.55616773585598</v>
      </c>
    </row>
    <row r="10" spans="1:8" s="8" customFormat="1" ht="15">
      <c r="A10" s="4" t="s">
        <v>49</v>
      </c>
      <c r="B10" s="20">
        <v>4.9</v>
      </c>
      <c r="C10" s="20">
        <f t="shared" si="0"/>
        <v>0.31789351600159477</v>
      </c>
      <c r="D10" s="84">
        <f t="shared" si="1"/>
        <v>5.217893516001595</v>
      </c>
      <c r="E10" s="19">
        <f t="shared" si="2"/>
        <v>265.9038535754413</v>
      </c>
      <c r="F10" s="22">
        <f>263+2</f>
        <v>265</v>
      </c>
      <c r="G10" s="21">
        <f t="shared" si="3"/>
        <v>-0.9038535754413033</v>
      </c>
      <c r="H10" s="45" t="s">
        <v>347</v>
      </c>
    </row>
    <row r="11" spans="1:8" s="8" customFormat="1" ht="15">
      <c r="A11" s="4" t="s">
        <v>175</v>
      </c>
      <c r="B11" s="20">
        <v>24.2</v>
      </c>
      <c r="C11" s="20">
        <f t="shared" si="0"/>
        <v>1.5700047116813454</v>
      </c>
      <c r="D11" s="84">
        <f t="shared" si="1"/>
        <v>25.770004711681345</v>
      </c>
      <c r="E11" s="19">
        <f t="shared" si="2"/>
        <v>1313.2394401072813</v>
      </c>
      <c r="F11" s="22">
        <f>1304+10</f>
        <v>1314</v>
      </c>
      <c r="G11" s="21">
        <f t="shared" si="3"/>
        <v>0.7605598927186747</v>
      </c>
      <c r="H11" s="45"/>
    </row>
    <row r="12" spans="1:8" s="8" customFormat="1" ht="15">
      <c r="A12" s="7" t="s">
        <v>162</v>
      </c>
      <c r="B12" s="20">
        <v>23.06</v>
      </c>
      <c r="C12" s="20">
        <f t="shared" si="0"/>
        <v>1.496045812040158</v>
      </c>
      <c r="D12" s="84">
        <f t="shared" si="1"/>
        <v>24.556045812040157</v>
      </c>
      <c r="E12" s="19">
        <f t="shared" si="2"/>
        <v>1251.3760945815663</v>
      </c>
      <c r="F12" s="22">
        <f>1242+9</f>
        <v>1251</v>
      </c>
      <c r="G12" s="21">
        <f t="shared" si="3"/>
        <v>-0.376094581566349</v>
      </c>
      <c r="H12" s="45"/>
    </row>
    <row r="13" spans="1:7" s="8" customFormat="1" ht="15">
      <c r="A13" s="7" t="s">
        <v>242</v>
      </c>
      <c r="B13" s="20">
        <v>78.6</v>
      </c>
      <c r="C13" s="20">
        <f t="shared" si="0"/>
        <v>5.099271501576601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275.90999999999997</v>
      </c>
      <c r="C14" s="86">
        <v>17.9</v>
      </c>
      <c r="D14" s="91"/>
      <c r="E14" s="28"/>
      <c r="F14" s="28"/>
      <c r="G14" s="28"/>
    </row>
    <row r="16" ht="23.25">
      <c r="A16" s="89" t="s">
        <v>308</v>
      </c>
    </row>
    <row r="17" spans="1:3" ht="31.5">
      <c r="A17" s="51" t="s">
        <v>71</v>
      </c>
      <c r="B17" s="94"/>
      <c r="C17" s="94"/>
    </row>
    <row r="18" ht="15">
      <c r="A18" s="58" t="s">
        <v>348</v>
      </c>
    </row>
    <row r="19" ht="15">
      <c r="A19" s="58" t="s">
        <v>349</v>
      </c>
    </row>
    <row r="20" ht="15">
      <c r="A20" s="58" t="s">
        <v>350</v>
      </c>
    </row>
    <row r="21" spans="1:3" ht="31.5">
      <c r="A21" s="51" t="s">
        <v>49</v>
      </c>
      <c r="B21" s="51"/>
      <c r="C21" s="51"/>
    </row>
    <row r="22" ht="15">
      <c r="A22" s="58" t="s">
        <v>351</v>
      </c>
    </row>
    <row r="23" spans="1:3" ht="31.5">
      <c r="A23" s="51" t="s">
        <v>352</v>
      </c>
      <c r="B23" s="51"/>
      <c r="C23" s="51"/>
    </row>
    <row r="24" ht="15">
      <c r="A24" s="58" t="s">
        <v>353</v>
      </c>
    </row>
    <row r="25" spans="1:3" ht="31.5">
      <c r="A25" s="51" t="s">
        <v>354</v>
      </c>
      <c r="B25" s="51"/>
      <c r="C25" s="51"/>
    </row>
    <row r="26" ht="15">
      <c r="A26" s="58" t="s">
        <v>355</v>
      </c>
    </row>
    <row r="27" spans="1:3" ht="31.5">
      <c r="A27" s="51" t="s">
        <v>5</v>
      </c>
      <c r="B27" s="51"/>
      <c r="C27" s="51"/>
    </row>
    <row r="28" ht="15">
      <c r="A28" s="58" t="s">
        <v>356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205</v>
      </c>
      <c r="B1" s="10">
        <v>41722</v>
      </c>
      <c r="C1" s="10"/>
      <c r="D1" s="11" t="s">
        <v>206</v>
      </c>
      <c r="E1" s="12">
        <v>50.71</v>
      </c>
      <c r="G1" s="8" t="s">
        <v>207</v>
      </c>
    </row>
    <row r="2" spans="1:2" s="8" customFormat="1" ht="23.25" customHeight="1">
      <c r="A2" s="33" t="s">
        <v>357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169</v>
      </c>
      <c r="B4" s="20">
        <v>23.8</v>
      </c>
      <c r="C4" s="20">
        <f aca="true" t="shared" si="0" ref="C4:C19">B4/$B$20*$C$20</f>
        <v>1.0054755723389188</v>
      </c>
      <c r="D4" s="84">
        <f aca="true" t="shared" si="1" ref="D4:D18">B4+C4</f>
        <v>24.80547557233892</v>
      </c>
      <c r="E4" s="19">
        <f aca="true" t="shared" si="2" ref="E4:E18">D4*$E$1</f>
        <v>1257.8856662733067</v>
      </c>
      <c r="F4" s="22">
        <v>1270</v>
      </c>
      <c r="G4" s="21">
        <f aca="true" t="shared" si="3" ref="G4:G18">F4-E4</f>
        <v>12.114333726693303</v>
      </c>
    </row>
    <row r="5" spans="1:7" s="8" customFormat="1" ht="15">
      <c r="A5" s="4" t="s">
        <v>155</v>
      </c>
      <c r="B5" s="20">
        <v>37.9</v>
      </c>
      <c r="C5" s="20">
        <f t="shared" si="0"/>
        <v>1.6011564786405472</v>
      </c>
      <c r="D5" s="84">
        <f t="shared" si="1"/>
        <v>39.501156478640546</v>
      </c>
      <c r="E5" s="19">
        <f t="shared" si="2"/>
        <v>2003.103645031862</v>
      </c>
      <c r="F5" s="22">
        <v>2022</v>
      </c>
      <c r="G5" s="21">
        <f t="shared" si="3"/>
        <v>18.896354968137985</v>
      </c>
    </row>
    <row r="6" spans="1:7" s="8" customFormat="1" ht="15">
      <c r="A6" s="4" t="s">
        <v>41</v>
      </c>
      <c r="B6" s="20">
        <v>11.7</v>
      </c>
      <c r="C6" s="20">
        <f t="shared" si="0"/>
        <v>0.4942884116119895</v>
      </c>
      <c r="D6" s="84">
        <f t="shared" si="1"/>
        <v>12.19428841161199</v>
      </c>
      <c r="E6" s="19">
        <f t="shared" si="2"/>
        <v>618.372365352844</v>
      </c>
      <c r="F6" s="22">
        <v>624</v>
      </c>
      <c r="G6" s="21">
        <f t="shared" si="3"/>
        <v>5.627634647156015</v>
      </c>
    </row>
    <row r="7" spans="1:7" s="8" customFormat="1" ht="15">
      <c r="A7" s="4" t="s">
        <v>55</v>
      </c>
      <c r="B7" s="20">
        <v>14.05</v>
      </c>
      <c r="C7" s="20">
        <f t="shared" si="0"/>
        <v>0.5935685626622609</v>
      </c>
      <c r="D7" s="84">
        <f t="shared" si="1"/>
        <v>14.643568562662262</v>
      </c>
      <c r="E7" s="19">
        <f t="shared" si="2"/>
        <v>742.5753618126033</v>
      </c>
      <c r="F7" s="22">
        <v>750</v>
      </c>
      <c r="G7" s="21">
        <f t="shared" si="3"/>
        <v>7.424638187396681</v>
      </c>
    </row>
    <row r="8" spans="1:8" s="8" customFormat="1" ht="15">
      <c r="A8" s="4" t="s">
        <v>358</v>
      </c>
      <c r="B8" s="20">
        <v>35.4</v>
      </c>
      <c r="C8" s="20">
        <f t="shared" si="0"/>
        <v>1.4955392966721732</v>
      </c>
      <c r="D8" s="84">
        <f t="shared" si="1"/>
        <v>36.89553929667217</v>
      </c>
      <c r="E8" s="19">
        <f t="shared" si="2"/>
        <v>1870.9727977342457</v>
      </c>
      <c r="F8" s="22">
        <f>1888-34</f>
        <v>1854</v>
      </c>
      <c r="G8" s="21">
        <f>F8-E8</f>
        <v>-16.97279773424566</v>
      </c>
      <c r="H8" s="45" t="s">
        <v>359</v>
      </c>
    </row>
    <row r="9" spans="1:8" s="8" customFormat="1" ht="15">
      <c r="A9" s="4" t="s">
        <v>174</v>
      </c>
      <c r="B9" s="20">
        <v>40.1</v>
      </c>
      <c r="C9" s="20">
        <f aca="true" t="shared" si="4" ref="C9:C14">B9/$B$20*$C$20</f>
        <v>1.6940995987727163</v>
      </c>
      <c r="D9" s="84">
        <f aca="true" t="shared" si="5" ref="D9:D14">B9+C9</f>
        <v>41.79409959877272</v>
      </c>
      <c r="E9" s="19">
        <f aca="true" t="shared" si="6" ref="E9:E14">D9*$E$1</f>
        <v>2119.3787906537646</v>
      </c>
      <c r="F9" s="22">
        <v>2133</v>
      </c>
      <c r="G9" s="21">
        <f aca="true" t="shared" si="7" ref="G9:G14">F9-E9</f>
        <v>13.621209346235446</v>
      </c>
      <c r="H9" s="45"/>
    </row>
    <row r="10" spans="1:8" s="8" customFormat="1" ht="15">
      <c r="A10" s="4" t="s">
        <v>75</v>
      </c>
      <c r="B10" s="20">
        <v>51.4</v>
      </c>
      <c r="C10" s="20">
        <f t="shared" si="4"/>
        <v>2.171489261269766</v>
      </c>
      <c r="D10" s="84">
        <f t="shared" si="5"/>
        <v>53.57148926126976</v>
      </c>
      <c r="E10" s="19">
        <f t="shared" si="6"/>
        <v>2716.6102204389895</v>
      </c>
      <c r="F10" s="22">
        <v>2753</v>
      </c>
      <c r="G10" s="21">
        <f t="shared" si="7"/>
        <v>36.38977956101053</v>
      </c>
      <c r="H10" s="45"/>
    </row>
    <row r="11" spans="1:8" s="8" customFormat="1" ht="15">
      <c r="A11" s="4" t="s">
        <v>89</v>
      </c>
      <c r="B11" s="20">
        <v>9.5</v>
      </c>
      <c r="C11" s="20">
        <f t="shared" si="4"/>
        <v>0.40134529147982057</v>
      </c>
      <c r="D11" s="84">
        <f t="shared" si="5"/>
        <v>9.90134529147982</v>
      </c>
      <c r="E11" s="19">
        <f t="shared" si="6"/>
        <v>502.09721973094173</v>
      </c>
      <c r="F11" s="22">
        <v>508</v>
      </c>
      <c r="G11" s="21">
        <f t="shared" si="7"/>
        <v>5.902780269058269</v>
      </c>
      <c r="H11" s="45"/>
    </row>
    <row r="12" spans="1:8" s="8" customFormat="1" ht="15">
      <c r="A12" s="4" t="s">
        <v>70</v>
      </c>
      <c r="B12" s="20">
        <v>47.8</v>
      </c>
      <c r="C12" s="20">
        <f t="shared" si="4"/>
        <v>2.0194005192353073</v>
      </c>
      <c r="D12" s="84">
        <f t="shared" si="5"/>
        <v>49.8194005192353</v>
      </c>
      <c r="E12" s="19">
        <f t="shared" si="6"/>
        <v>2526.3418003304223</v>
      </c>
      <c r="F12" s="22">
        <f>2823-270</f>
        <v>2553</v>
      </c>
      <c r="G12" s="21">
        <f t="shared" si="7"/>
        <v>26.658199669577698</v>
      </c>
      <c r="H12" s="45"/>
    </row>
    <row r="13" spans="1:8" s="8" customFormat="1" ht="15">
      <c r="A13" s="4" t="s">
        <v>104</v>
      </c>
      <c r="B13" s="20">
        <v>10.1</v>
      </c>
      <c r="C13" s="20">
        <f t="shared" si="4"/>
        <v>0.42669341515223025</v>
      </c>
      <c r="D13" s="84">
        <f t="shared" si="5"/>
        <v>10.52669341515223</v>
      </c>
      <c r="E13" s="19">
        <f t="shared" si="6"/>
        <v>533.8086230823696</v>
      </c>
      <c r="F13" s="22">
        <v>539</v>
      </c>
      <c r="G13" s="21">
        <f t="shared" si="7"/>
        <v>5.19137691763035</v>
      </c>
      <c r="H13" s="45"/>
    </row>
    <row r="14" spans="1:8" s="8" customFormat="1" ht="15">
      <c r="A14" s="4" t="s">
        <v>360</v>
      </c>
      <c r="B14" s="20">
        <v>42.3</v>
      </c>
      <c r="C14" s="20">
        <f t="shared" si="4"/>
        <v>1.7870427189048852</v>
      </c>
      <c r="D14" s="84">
        <f t="shared" si="5"/>
        <v>44.08704271890488</v>
      </c>
      <c r="E14" s="19">
        <f t="shared" si="6"/>
        <v>2235.6539362756666</v>
      </c>
      <c r="F14" s="22">
        <v>2257</v>
      </c>
      <c r="G14" s="21">
        <f t="shared" si="7"/>
        <v>21.346063724333362</v>
      </c>
      <c r="H14" s="45"/>
    </row>
    <row r="15" spans="1:7" s="8" customFormat="1" ht="15">
      <c r="A15" s="4" t="s">
        <v>361</v>
      </c>
      <c r="B15" s="20">
        <v>5.5</v>
      </c>
      <c r="C15" s="20">
        <f t="shared" si="0"/>
        <v>0.23235780033042244</v>
      </c>
      <c r="D15" s="84">
        <f t="shared" si="1"/>
        <v>5.732357800330423</v>
      </c>
      <c r="E15" s="19">
        <f t="shared" si="2"/>
        <v>290.6878640547557</v>
      </c>
      <c r="F15" s="22">
        <v>293</v>
      </c>
      <c r="G15" s="21">
        <f t="shared" si="3"/>
        <v>2.312135945244279</v>
      </c>
    </row>
    <row r="16" spans="1:8" s="8" customFormat="1" ht="15">
      <c r="A16" s="4" t="s">
        <v>154</v>
      </c>
      <c r="B16" s="20">
        <v>16.8</v>
      </c>
      <c r="C16" s="20">
        <f t="shared" si="0"/>
        <v>0.7097474628274721</v>
      </c>
      <c r="D16" s="84">
        <f t="shared" si="1"/>
        <v>17.509747462827473</v>
      </c>
      <c r="E16" s="19">
        <f t="shared" si="2"/>
        <v>887.9192938399812</v>
      </c>
      <c r="F16" s="22">
        <v>896</v>
      </c>
      <c r="G16" s="21">
        <f t="shared" si="3"/>
        <v>8.080706160018849</v>
      </c>
      <c r="H16" s="45"/>
    </row>
    <row r="17" spans="1:8" s="8" customFormat="1" ht="15">
      <c r="A17" s="4" t="s">
        <v>79</v>
      </c>
      <c r="B17" s="20">
        <v>43</v>
      </c>
      <c r="C17" s="20">
        <f t="shared" si="0"/>
        <v>1.81661552985603</v>
      </c>
      <c r="D17" s="84">
        <f t="shared" si="1"/>
        <v>44.81661552985603</v>
      </c>
      <c r="E17" s="19">
        <f t="shared" si="2"/>
        <v>2272.6505735189994</v>
      </c>
      <c r="F17" s="22">
        <v>2294</v>
      </c>
      <c r="G17" s="21">
        <f t="shared" si="3"/>
        <v>21.34942648100059</v>
      </c>
      <c r="H17" s="45"/>
    </row>
    <row r="18" spans="1:8" s="8" customFormat="1" ht="15">
      <c r="A18" s="7" t="s">
        <v>126</v>
      </c>
      <c r="B18" s="20">
        <v>6.5</v>
      </c>
      <c r="C18" s="20">
        <f t="shared" si="0"/>
        <v>0.274604673117772</v>
      </c>
      <c r="D18" s="84">
        <f t="shared" si="1"/>
        <v>6.774604673117772</v>
      </c>
      <c r="E18" s="19">
        <f t="shared" si="2"/>
        <v>343.54020297380225</v>
      </c>
      <c r="F18" s="22">
        <v>347</v>
      </c>
      <c r="G18" s="21">
        <f t="shared" si="3"/>
        <v>3.459797026197748</v>
      </c>
      <c r="H18" s="45"/>
    </row>
    <row r="19" spans="1:7" s="8" customFormat="1" ht="15">
      <c r="A19" s="7" t="s">
        <v>242</v>
      </c>
      <c r="B19" s="20">
        <v>27.85</v>
      </c>
      <c r="C19" s="20">
        <f t="shared" si="0"/>
        <v>1.1765754071276844</v>
      </c>
      <c r="D19" s="85"/>
      <c r="E19" s="28"/>
      <c r="F19" s="28"/>
      <c r="G19" s="28"/>
    </row>
    <row r="20" spans="1:7" s="8" customFormat="1" ht="15">
      <c r="A20" s="25"/>
      <c r="B20" s="86">
        <f>SUM(B4:B19)</f>
        <v>423.70000000000005</v>
      </c>
      <c r="C20" s="86">
        <v>17.9</v>
      </c>
      <c r="D20" s="91"/>
      <c r="E20" s="28"/>
      <c r="F20" s="28"/>
      <c r="G20" s="28"/>
    </row>
    <row r="22" ht="23.25">
      <c r="A22" s="89" t="s">
        <v>308</v>
      </c>
    </row>
    <row r="23" spans="1:2" ht="31.5">
      <c r="A23" s="51" t="s">
        <v>104</v>
      </c>
      <c r="B23" s="95" t="s">
        <v>362</v>
      </c>
    </row>
    <row r="24" ht="15">
      <c r="A24" s="58" t="s">
        <v>363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205</v>
      </c>
      <c r="B1" s="10">
        <v>41746</v>
      </c>
      <c r="C1" s="10"/>
      <c r="D1" s="11" t="s">
        <v>206</v>
      </c>
      <c r="E1" s="12">
        <v>50.11</v>
      </c>
      <c r="G1" s="8" t="s">
        <v>207</v>
      </c>
    </row>
    <row r="2" spans="1:2" s="8" customFormat="1" ht="23.25" customHeight="1">
      <c r="A2" s="33" t="s">
        <v>364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361</v>
      </c>
      <c r="B4" s="20">
        <v>2.9</v>
      </c>
      <c r="C4" s="20">
        <f aca="true" t="shared" si="0" ref="C4:C15">B4/$B$16*$C$16</f>
        <v>0.18376522231662415</v>
      </c>
      <c r="D4" s="84">
        <f aca="true" t="shared" si="1" ref="D4:D14">B4+C4</f>
        <v>3.083765222316624</v>
      </c>
      <c r="E4" s="19">
        <f aca="true" t="shared" si="2" ref="E4:E14">D4*$E$1</f>
        <v>154.52747529028602</v>
      </c>
      <c r="F4" s="22">
        <v>155</v>
      </c>
      <c r="G4" s="21">
        <f>F4-E4</f>
        <v>0.47252470971398</v>
      </c>
    </row>
    <row r="5" spans="1:7" s="8" customFormat="1" ht="15">
      <c r="A5" s="4" t="s">
        <v>7</v>
      </c>
      <c r="B5" s="20">
        <v>18.4</v>
      </c>
      <c r="C5" s="20">
        <f t="shared" si="0"/>
        <v>1.1659586519399603</v>
      </c>
      <c r="D5" s="84">
        <f t="shared" si="1"/>
        <v>19.565958651939958</v>
      </c>
      <c r="E5" s="19">
        <f t="shared" si="2"/>
        <v>980.4501880487113</v>
      </c>
      <c r="F5" s="22">
        <v>995</v>
      </c>
      <c r="G5" s="21">
        <f>F5-E5</f>
        <v>14.549811951288689</v>
      </c>
    </row>
    <row r="6" spans="1:7" s="8" customFormat="1" ht="15">
      <c r="A6" s="4" t="s">
        <v>47</v>
      </c>
      <c r="B6" s="20">
        <v>13.09</v>
      </c>
      <c r="C6" s="20">
        <f t="shared" si="0"/>
        <v>0.8294781931464174</v>
      </c>
      <c r="D6" s="84">
        <f t="shared" si="1"/>
        <v>13.919478193146418</v>
      </c>
      <c r="E6" s="19">
        <f t="shared" si="2"/>
        <v>697.5050522585669</v>
      </c>
      <c r="F6" s="22">
        <f>508+200</f>
        <v>708</v>
      </c>
      <c r="G6" s="21">
        <f>F6-E6</f>
        <v>10.494947741433066</v>
      </c>
    </row>
    <row r="7" spans="1:7" s="8" customFormat="1" ht="15">
      <c r="A7" s="4" t="s">
        <v>141</v>
      </c>
      <c r="B7" s="20">
        <v>24.9</v>
      </c>
      <c r="C7" s="20">
        <f t="shared" si="0"/>
        <v>1.577846219201359</v>
      </c>
      <c r="D7" s="84">
        <f t="shared" si="1"/>
        <v>26.477846219201357</v>
      </c>
      <c r="E7" s="19">
        <f t="shared" si="2"/>
        <v>1326.80487404418</v>
      </c>
      <c r="F7" s="22">
        <v>1347</v>
      </c>
      <c r="G7" s="21">
        <f>F7-E7</f>
        <v>20.195125955820004</v>
      </c>
    </row>
    <row r="8" spans="1:8" s="8" customFormat="1" ht="15">
      <c r="A8" s="4" t="s">
        <v>192</v>
      </c>
      <c r="B8" s="20">
        <v>14.5</v>
      </c>
      <c r="C8" s="20">
        <f t="shared" si="0"/>
        <v>0.9188261115831208</v>
      </c>
      <c r="D8" s="84">
        <f t="shared" si="1"/>
        <v>15.41882611158312</v>
      </c>
      <c r="E8" s="19">
        <f t="shared" si="2"/>
        <v>772.6373764514302</v>
      </c>
      <c r="F8" s="22">
        <f>800-27</f>
        <v>773</v>
      </c>
      <c r="G8" s="21">
        <f>F8-E8</f>
        <v>0.3626235485697862</v>
      </c>
      <c r="H8" s="45" t="s">
        <v>365</v>
      </c>
    </row>
    <row r="9" spans="1:8" s="8" customFormat="1" ht="15">
      <c r="A9" s="4" t="s">
        <v>155</v>
      </c>
      <c r="B9" s="20">
        <v>8.5</v>
      </c>
      <c r="C9" s="20">
        <f t="shared" si="0"/>
        <v>0.5386222033418294</v>
      </c>
      <c r="D9" s="84">
        <f t="shared" si="1"/>
        <v>9.038622203341829</v>
      </c>
      <c r="E9" s="19">
        <f t="shared" si="2"/>
        <v>452.92535860945907</v>
      </c>
      <c r="F9" s="22">
        <f>441+12</f>
        <v>453</v>
      </c>
      <c r="G9" s="21">
        <f aca="true" t="shared" si="3" ref="G9:G14">F9-E9</f>
        <v>0.07464139054093266</v>
      </c>
      <c r="H9" s="45"/>
    </row>
    <row r="10" spans="1:8" s="8" customFormat="1" ht="15">
      <c r="A10" s="4" t="s">
        <v>182</v>
      </c>
      <c r="B10" s="20">
        <v>11.9</v>
      </c>
      <c r="C10" s="20">
        <f t="shared" si="0"/>
        <v>0.7540710846785612</v>
      </c>
      <c r="D10" s="84">
        <f t="shared" si="1"/>
        <v>12.654071084678561</v>
      </c>
      <c r="E10" s="19">
        <f t="shared" si="2"/>
        <v>634.0955020532427</v>
      </c>
      <c r="F10" s="22">
        <v>633</v>
      </c>
      <c r="G10" s="21">
        <f t="shared" si="3"/>
        <v>-1.0955020532427397</v>
      </c>
      <c r="H10" s="45" t="s">
        <v>366</v>
      </c>
    </row>
    <row r="11" spans="1:8" s="8" customFormat="1" ht="15">
      <c r="A11" s="4" t="s">
        <v>118</v>
      </c>
      <c r="B11" s="20">
        <v>18.9</v>
      </c>
      <c r="C11" s="20">
        <f t="shared" si="0"/>
        <v>1.1976423109600678</v>
      </c>
      <c r="D11" s="84">
        <f t="shared" si="1"/>
        <v>20.097642310960065</v>
      </c>
      <c r="E11" s="19">
        <f t="shared" si="2"/>
        <v>1007.0928562022088</v>
      </c>
      <c r="F11" s="22">
        <f>1023-15</f>
        <v>1008</v>
      </c>
      <c r="G11" s="21">
        <f t="shared" si="3"/>
        <v>0.9071437977911501</v>
      </c>
      <c r="H11" s="45" t="s">
        <v>367</v>
      </c>
    </row>
    <row r="12" spans="1:8" s="8" customFormat="1" ht="15">
      <c r="A12" s="4" t="s">
        <v>127</v>
      </c>
      <c r="B12" s="20">
        <v>12.5</v>
      </c>
      <c r="C12" s="20">
        <f t="shared" si="0"/>
        <v>0.7920914755026904</v>
      </c>
      <c r="D12" s="84">
        <f t="shared" si="1"/>
        <v>13.29209147550269</v>
      </c>
      <c r="E12" s="19">
        <f t="shared" si="2"/>
        <v>666.0667038374398</v>
      </c>
      <c r="F12" s="22">
        <v>676</v>
      </c>
      <c r="G12" s="21">
        <f t="shared" si="3"/>
        <v>9.933296162560168</v>
      </c>
      <c r="H12" s="45"/>
    </row>
    <row r="13" spans="1:8" s="8" customFormat="1" ht="15">
      <c r="A13" s="4" t="s">
        <v>193</v>
      </c>
      <c r="B13" s="20">
        <v>19.9</v>
      </c>
      <c r="C13" s="20">
        <f t="shared" si="0"/>
        <v>1.261009629000283</v>
      </c>
      <c r="D13" s="84">
        <f t="shared" si="1"/>
        <v>21.161009629000283</v>
      </c>
      <c r="E13" s="19">
        <f t="shared" si="2"/>
        <v>1060.3781925092042</v>
      </c>
      <c r="F13" s="22">
        <f>537+550</f>
        <v>1087</v>
      </c>
      <c r="G13" s="21">
        <f t="shared" si="3"/>
        <v>26.621807490795845</v>
      </c>
      <c r="H13" s="45"/>
    </row>
    <row r="14" spans="1:8" s="8" customFormat="1" ht="15">
      <c r="A14" s="4" t="s">
        <v>50</v>
      </c>
      <c r="B14" s="20">
        <v>30.4</v>
      </c>
      <c r="C14" s="20">
        <f t="shared" si="0"/>
        <v>1.9263664684225428</v>
      </c>
      <c r="D14" s="84">
        <f t="shared" si="1"/>
        <v>32.32636646842254</v>
      </c>
      <c r="E14" s="19">
        <f t="shared" si="2"/>
        <v>1619.8742237326535</v>
      </c>
      <c r="F14" s="22">
        <f>1645-25</f>
        <v>1620</v>
      </c>
      <c r="G14" s="21">
        <f t="shared" si="3"/>
        <v>0.12577626734650948</v>
      </c>
      <c r="H14" s="45" t="s">
        <v>368</v>
      </c>
    </row>
    <row r="15" spans="1:7" s="8" customFormat="1" ht="15">
      <c r="A15" s="7" t="s">
        <v>242</v>
      </c>
      <c r="B15" s="20">
        <v>106.59</v>
      </c>
      <c r="C15" s="20">
        <f t="shared" si="0"/>
        <v>6.754322429906541</v>
      </c>
      <c r="D15" s="85"/>
      <c r="E15" s="28"/>
      <c r="F15" s="28"/>
      <c r="G15" s="28"/>
    </row>
    <row r="16" spans="1:7" s="8" customFormat="1" ht="15">
      <c r="A16" s="25"/>
      <c r="B16" s="86">
        <f>SUM(B4:B15)</f>
        <v>282.48</v>
      </c>
      <c r="C16" s="86">
        <v>17.9</v>
      </c>
      <c r="D16" s="91"/>
      <c r="E16" s="28"/>
      <c r="F16" s="28"/>
      <c r="G16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8" customFormat="1" ht="21.75" customHeight="1">
      <c r="A1" s="9" t="s">
        <v>205</v>
      </c>
      <c r="B1" s="10">
        <v>41749</v>
      </c>
      <c r="C1" s="10"/>
      <c r="D1" s="11" t="s">
        <v>206</v>
      </c>
      <c r="E1" s="12">
        <v>48.33</v>
      </c>
      <c r="G1" s="8" t="s">
        <v>207</v>
      </c>
    </row>
    <row r="2" spans="1:2" s="8" customFormat="1" ht="23.25" customHeight="1">
      <c r="A2" s="33" t="s">
        <v>369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360</v>
      </c>
      <c r="B4" s="20">
        <v>13</v>
      </c>
      <c r="C4" s="20">
        <f aca="true" t="shared" si="0" ref="C4:C11">B4/$B$21*$C$21</f>
        <v>0.5918559401785487</v>
      </c>
      <c r="D4" s="84">
        <f aca="true" t="shared" si="1" ref="D4:D19">B4+C4</f>
        <v>13.591855940178549</v>
      </c>
      <c r="E4" s="19">
        <f aca="true" t="shared" si="2" ref="E4:E19">D4*$E$1</f>
        <v>656.8943975888293</v>
      </c>
      <c r="F4" s="22">
        <v>640</v>
      </c>
      <c r="G4" s="21">
        <f>F4-E4</f>
        <v>-16.894397588829293</v>
      </c>
    </row>
    <row r="5" spans="1:7" s="8" customFormat="1" ht="15">
      <c r="A5" s="4" t="s">
        <v>174</v>
      </c>
      <c r="B5" s="20">
        <v>27.8</v>
      </c>
      <c r="C5" s="20">
        <f t="shared" si="0"/>
        <v>1.2656611643818196</v>
      </c>
      <c r="D5" s="84">
        <f t="shared" si="1"/>
        <v>29.06566116438182</v>
      </c>
      <c r="E5" s="19">
        <f t="shared" si="2"/>
        <v>1404.7434040745732</v>
      </c>
      <c r="F5" s="22">
        <v>1392</v>
      </c>
      <c r="G5" s="21">
        <f>F5-E5</f>
        <v>-12.743404074573164</v>
      </c>
    </row>
    <row r="6" spans="1:7" s="8" customFormat="1" ht="15">
      <c r="A6" s="4" t="s">
        <v>91</v>
      </c>
      <c r="B6" s="20">
        <v>22.8</v>
      </c>
      <c r="C6" s="20">
        <f t="shared" si="0"/>
        <v>1.038024264313147</v>
      </c>
      <c r="D6" s="84">
        <f t="shared" si="1"/>
        <v>23.838024264313148</v>
      </c>
      <c r="E6" s="19">
        <f t="shared" si="2"/>
        <v>1152.0917126942545</v>
      </c>
      <c r="F6" s="22">
        <v>1158</v>
      </c>
      <c r="G6" s="21">
        <f>F6-E6</f>
        <v>5.908287305745489</v>
      </c>
    </row>
    <row r="7" spans="1:7" s="8" customFormat="1" ht="15">
      <c r="A7" s="4" t="s">
        <v>44</v>
      </c>
      <c r="B7" s="20">
        <v>17.9</v>
      </c>
      <c r="C7" s="20">
        <f t="shared" si="0"/>
        <v>0.8149401022458478</v>
      </c>
      <c r="D7" s="84">
        <f t="shared" si="1"/>
        <v>18.714940102245848</v>
      </c>
      <c r="E7" s="19">
        <f t="shared" si="2"/>
        <v>904.4930551415417</v>
      </c>
      <c r="F7" s="22">
        <v>909</v>
      </c>
      <c r="G7" s="21">
        <f>F7-E7</f>
        <v>4.506944858458269</v>
      </c>
    </row>
    <row r="8" spans="1:8" s="8" customFormat="1" ht="15">
      <c r="A8" s="4" t="s">
        <v>103</v>
      </c>
      <c r="B8" s="20">
        <v>11.5</v>
      </c>
      <c r="C8" s="20">
        <f t="shared" si="0"/>
        <v>0.523564870157947</v>
      </c>
      <c r="D8" s="84">
        <f t="shared" si="1"/>
        <v>12.023564870157948</v>
      </c>
      <c r="E8" s="19">
        <f t="shared" si="2"/>
        <v>581.0988901747336</v>
      </c>
      <c r="F8" s="22">
        <v>585</v>
      </c>
      <c r="G8" s="21">
        <f>F8-E8</f>
        <v>3.901109825266417</v>
      </c>
      <c r="H8" s="45"/>
    </row>
    <row r="9" spans="1:8" s="8" customFormat="1" ht="15">
      <c r="A9" s="4" t="s">
        <v>196</v>
      </c>
      <c r="B9" s="20">
        <v>9.95</v>
      </c>
      <c r="C9" s="20">
        <f t="shared" si="0"/>
        <v>0.45299743113665847</v>
      </c>
      <c r="D9" s="84">
        <f t="shared" si="1"/>
        <v>10.402997431136658</v>
      </c>
      <c r="E9" s="19">
        <f t="shared" si="2"/>
        <v>502.77686584683465</v>
      </c>
      <c r="F9" s="22">
        <f>465+41</f>
        <v>506</v>
      </c>
      <c r="G9" s="21">
        <f aca="true" t="shared" si="3" ref="G9:G19">F9-E9</f>
        <v>3.223134153165347</v>
      </c>
      <c r="H9" s="45" t="s">
        <v>370</v>
      </c>
    </row>
    <row r="10" spans="1:8" s="8" customFormat="1" ht="15">
      <c r="A10" s="4" t="s">
        <v>145</v>
      </c>
      <c r="B10" s="20">
        <v>28.9</v>
      </c>
      <c r="C10" s="20">
        <f t="shared" si="0"/>
        <v>1.3157412823969274</v>
      </c>
      <c r="D10" s="84">
        <f t="shared" si="1"/>
        <v>30.215741282396927</v>
      </c>
      <c r="E10" s="19">
        <f t="shared" si="2"/>
        <v>1460.3267761782433</v>
      </c>
      <c r="F10" s="22">
        <v>1468</v>
      </c>
      <c r="G10" s="21">
        <f t="shared" si="3"/>
        <v>7.673223821756665</v>
      </c>
      <c r="H10" s="45"/>
    </row>
    <row r="11" spans="1:8" s="8" customFormat="1" ht="15">
      <c r="A11" s="4" t="s">
        <v>63</v>
      </c>
      <c r="B11" s="20">
        <v>4.7</v>
      </c>
      <c r="C11" s="20">
        <f t="shared" si="0"/>
        <v>0.21397868606455225</v>
      </c>
      <c r="D11" s="84">
        <f t="shared" si="1"/>
        <v>4.913978686064552</v>
      </c>
      <c r="E11" s="19">
        <f t="shared" si="2"/>
        <v>237.49258989749978</v>
      </c>
      <c r="F11" s="22">
        <v>240</v>
      </c>
      <c r="G11" s="21">
        <f t="shared" si="3"/>
        <v>2.5074101025002165</v>
      </c>
      <c r="H11" s="45"/>
    </row>
    <row r="12" spans="1:7" s="8" customFormat="1" ht="15">
      <c r="A12" s="4" t="s">
        <v>186</v>
      </c>
      <c r="B12" s="20">
        <v>34.4</v>
      </c>
      <c r="C12" s="20">
        <f aca="true" t="shared" si="4" ref="C12:C17">B12/$B$21*$C$21</f>
        <v>1.5661418724724672</v>
      </c>
      <c r="D12" s="84">
        <f aca="true" t="shared" si="5" ref="D12:D17">B12+C12</f>
        <v>35.96614187247246</v>
      </c>
      <c r="E12" s="19">
        <f aca="true" t="shared" si="6" ref="E12:E17">D12*$E$1</f>
        <v>1738.243636696594</v>
      </c>
      <c r="F12" s="22">
        <v>1738</v>
      </c>
      <c r="G12" s="21">
        <f aca="true" t="shared" si="7" ref="G12:G17">F12-E12</f>
        <v>-0.24363669659396692</v>
      </c>
    </row>
    <row r="13" spans="1:7" s="8" customFormat="1" ht="15">
      <c r="A13" s="4" t="s">
        <v>156</v>
      </c>
      <c r="B13" s="20">
        <v>19.9</v>
      </c>
      <c r="C13" s="20">
        <f t="shared" si="4"/>
        <v>0.9059948622733169</v>
      </c>
      <c r="D13" s="84">
        <f t="shared" si="5"/>
        <v>20.805994862273316</v>
      </c>
      <c r="E13" s="19">
        <f t="shared" si="6"/>
        <v>1005.5537316936693</v>
      </c>
      <c r="F13" s="22">
        <v>1011</v>
      </c>
      <c r="G13" s="21">
        <f t="shared" si="7"/>
        <v>5.446268306330694</v>
      </c>
    </row>
    <row r="14" spans="1:8" s="8" customFormat="1" ht="15">
      <c r="A14" s="4" t="s">
        <v>198</v>
      </c>
      <c r="B14" s="20">
        <v>22.4</v>
      </c>
      <c r="C14" s="20">
        <f t="shared" si="4"/>
        <v>1.0198133123076532</v>
      </c>
      <c r="D14" s="84">
        <f t="shared" si="5"/>
        <v>23.419813312307653</v>
      </c>
      <c r="E14" s="19">
        <f t="shared" si="6"/>
        <v>1131.8795773838287</v>
      </c>
      <c r="F14" s="22">
        <v>1143</v>
      </c>
      <c r="G14" s="21">
        <f t="shared" si="7"/>
        <v>11.120422616171254</v>
      </c>
      <c r="H14" s="45"/>
    </row>
    <row r="15" spans="1:8" s="8" customFormat="1" ht="15">
      <c r="A15" s="4" t="s">
        <v>92</v>
      </c>
      <c r="B15" s="20">
        <v>89.95</v>
      </c>
      <c r="C15" s="20">
        <f t="shared" si="4"/>
        <v>4.09518783223542</v>
      </c>
      <c r="D15" s="84">
        <f t="shared" si="5"/>
        <v>94.04518783223543</v>
      </c>
      <c r="E15" s="19">
        <f t="shared" si="6"/>
        <v>4545.203927931938</v>
      </c>
      <c r="F15" s="22">
        <v>4570</v>
      </c>
      <c r="G15" s="21">
        <f t="shared" si="7"/>
        <v>24.79607206806213</v>
      </c>
      <c r="H15" s="45"/>
    </row>
    <row r="16" spans="1:8" s="8" customFormat="1" ht="15">
      <c r="A16" s="4" t="s">
        <v>52</v>
      </c>
      <c r="B16" s="20">
        <v>14.4</v>
      </c>
      <c r="C16" s="20">
        <f t="shared" si="4"/>
        <v>0.655594272197777</v>
      </c>
      <c r="D16" s="84">
        <f t="shared" si="5"/>
        <v>15.055594272197776</v>
      </c>
      <c r="E16" s="19">
        <f t="shared" si="6"/>
        <v>727.6368711753186</v>
      </c>
      <c r="F16" s="22">
        <v>732</v>
      </c>
      <c r="G16" s="21">
        <f t="shared" si="7"/>
        <v>4.363128824681439</v>
      </c>
      <c r="H16" s="45"/>
    </row>
    <row r="17" spans="1:8" s="8" customFormat="1" ht="15">
      <c r="A17" s="4" t="s">
        <v>168</v>
      </c>
      <c r="B17" s="20">
        <v>27.92</v>
      </c>
      <c r="C17" s="20">
        <f t="shared" si="4"/>
        <v>1.271124449983468</v>
      </c>
      <c r="D17" s="84">
        <f t="shared" si="5"/>
        <v>29.19112444998347</v>
      </c>
      <c r="E17" s="19">
        <f t="shared" si="6"/>
        <v>1410.8070446677011</v>
      </c>
      <c r="F17" s="22">
        <v>1419</v>
      </c>
      <c r="G17" s="21">
        <f t="shared" si="7"/>
        <v>8.19295533229888</v>
      </c>
      <c r="H17" s="45"/>
    </row>
    <row r="18" spans="1:8" s="8" customFormat="1" ht="15">
      <c r="A18" s="4" t="s">
        <v>70</v>
      </c>
      <c r="B18" s="20">
        <v>10.9</v>
      </c>
      <c r="C18" s="20">
        <f>B18/$B$21*$C$21</f>
        <v>0.49624844214970626</v>
      </c>
      <c r="D18" s="84">
        <f t="shared" si="1"/>
        <v>11.396248442149707</v>
      </c>
      <c r="E18" s="19">
        <f t="shared" si="2"/>
        <v>550.7806872090953</v>
      </c>
      <c r="F18" s="22">
        <v>530</v>
      </c>
      <c r="G18" s="21">
        <f t="shared" si="3"/>
        <v>-20.780687209095277</v>
      </c>
      <c r="H18" s="45"/>
    </row>
    <row r="19" spans="1:8" s="8" customFormat="1" ht="15">
      <c r="A19" s="4" t="s">
        <v>35</v>
      </c>
      <c r="B19" s="20">
        <v>9.95</v>
      </c>
      <c r="C19" s="20">
        <f>B19/$B$21*$C$21</f>
        <v>0.45299743113665847</v>
      </c>
      <c r="D19" s="84">
        <f t="shared" si="1"/>
        <v>10.402997431136658</v>
      </c>
      <c r="E19" s="19">
        <f t="shared" si="2"/>
        <v>502.77686584683465</v>
      </c>
      <c r="F19" s="22">
        <v>506</v>
      </c>
      <c r="G19" s="21">
        <f t="shared" si="3"/>
        <v>3.223134153165347</v>
      </c>
      <c r="H19" s="45"/>
    </row>
    <row r="20" spans="1:7" s="8" customFormat="1" ht="15">
      <c r="A20" s="7" t="s">
        <v>242</v>
      </c>
      <c r="B20" s="20">
        <v>26.8</v>
      </c>
      <c r="C20" s="20">
        <f>B20/$B$21*$C$21</f>
        <v>1.220133784368085</v>
      </c>
      <c r="D20" s="85"/>
      <c r="E20" s="28"/>
      <c r="F20" s="28"/>
      <c r="G20" s="28"/>
    </row>
    <row r="21" spans="1:7" s="8" customFormat="1" ht="15">
      <c r="A21" s="25"/>
      <c r="B21" s="86">
        <f>SUM(B4:B20)</f>
        <v>393.16999999999996</v>
      </c>
      <c r="C21" s="86">
        <v>17.9</v>
      </c>
      <c r="D21" s="91"/>
      <c r="E21" s="28"/>
      <c r="F21" s="28"/>
      <c r="G21" s="28"/>
    </row>
    <row r="23" ht="31.5">
      <c r="A23" s="50"/>
    </row>
    <row r="24" ht="31.5">
      <c r="A24" s="50"/>
    </row>
    <row r="26" ht="23.25">
      <c r="A26" s="89" t="s">
        <v>308</v>
      </c>
    </row>
    <row r="27" ht="31.5">
      <c r="A27" s="51" t="s">
        <v>174</v>
      </c>
    </row>
    <row r="28" ht="15">
      <c r="A28" s="58" t="s">
        <v>371</v>
      </c>
    </row>
    <row r="29" ht="31.5">
      <c r="A29" s="51" t="s">
        <v>91</v>
      </c>
    </row>
    <row r="30" ht="15">
      <c r="A30" s="59" t="s">
        <v>372</v>
      </c>
    </row>
    <row r="31" ht="31.5">
      <c r="A31" s="51" t="s">
        <v>92</v>
      </c>
    </row>
    <row r="32" ht="15">
      <c r="A32" s="59" t="s">
        <v>373</v>
      </c>
    </row>
    <row r="33" ht="15">
      <c r="A33" s="59" t="s">
        <v>374</v>
      </c>
    </row>
    <row r="34" ht="31.5">
      <c r="A34" s="51" t="s">
        <v>155</v>
      </c>
    </row>
    <row r="35" ht="15">
      <c r="A35" s="58" t="s">
        <v>375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8" customFormat="1" ht="21.75" customHeight="1">
      <c r="A1" s="9" t="s">
        <v>205</v>
      </c>
      <c r="B1" s="10">
        <v>41758</v>
      </c>
      <c r="C1" s="10"/>
      <c r="D1" s="11" t="s">
        <v>206</v>
      </c>
      <c r="E1" s="12">
        <v>48.13</v>
      </c>
      <c r="G1" s="8" t="s">
        <v>207</v>
      </c>
    </row>
    <row r="2" spans="1:2" s="8" customFormat="1" ht="23.25" customHeight="1">
      <c r="A2" s="33" t="s">
        <v>376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91</v>
      </c>
      <c r="B4" s="20">
        <v>15.5</v>
      </c>
      <c r="C4" s="20">
        <f aca="true" t="shared" si="0" ref="C4:C14">B4/$B$15*$C$15</f>
        <v>1.1505287165664526</v>
      </c>
      <c r="D4" s="84">
        <f aca="true" t="shared" si="1" ref="D4:D13">B4+C4</f>
        <v>16.650528716566452</v>
      </c>
      <c r="E4" s="19">
        <f aca="true" t="shared" si="2" ref="E4:E13">D4*$E$1</f>
        <v>801.3899471283434</v>
      </c>
      <c r="F4" s="22">
        <f>793+2</f>
        <v>795</v>
      </c>
      <c r="G4" s="21">
        <f aca="true" t="shared" si="3" ref="G4:G13">F4-E4</f>
        <v>-6.389947128343351</v>
      </c>
    </row>
    <row r="5" spans="1:7" s="8" customFormat="1" ht="15">
      <c r="A5" s="4" t="s">
        <v>155</v>
      </c>
      <c r="B5" s="20">
        <v>7.4</v>
      </c>
      <c r="C5" s="20">
        <f t="shared" si="0"/>
        <v>0.5492846775865644</v>
      </c>
      <c r="D5" s="84">
        <f t="shared" si="1"/>
        <v>7.949284677586565</v>
      </c>
      <c r="E5" s="19">
        <f t="shared" si="2"/>
        <v>382.5990715322414</v>
      </c>
      <c r="F5" s="22">
        <f>362+2</f>
        <v>364</v>
      </c>
      <c r="G5" s="21">
        <f t="shared" si="3"/>
        <v>-18.599071532241396</v>
      </c>
    </row>
    <row r="6" spans="1:7" s="8" customFormat="1" ht="15">
      <c r="A6" s="4" t="s">
        <v>103</v>
      </c>
      <c r="B6" s="20">
        <v>26.9</v>
      </c>
      <c r="C6" s="20">
        <f t="shared" si="0"/>
        <v>1.996724030686295</v>
      </c>
      <c r="D6" s="84">
        <f t="shared" si="1"/>
        <v>28.896724030686293</v>
      </c>
      <c r="E6" s="19">
        <f t="shared" si="2"/>
        <v>1390.7993275969313</v>
      </c>
      <c r="F6" s="22">
        <v>1382</v>
      </c>
      <c r="G6" s="21">
        <f t="shared" si="3"/>
        <v>-8.799327596931334</v>
      </c>
    </row>
    <row r="7" spans="1:7" s="8" customFormat="1" ht="15">
      <c r="A7" s="4" t="s">
        <v>8</v>
      </c>
      <c r="B7" s="20">
        <v>18.9</v>
      </c>
      <c r="C7" s="20">
        <f t="shared" si="0"/>
        <v>1.4029027576197388</v>
      </c>
      <c r="D7" s="84">
        <f t="shared" si="1"/>
        <v>20.302902757619737</v>
      </c>
      <c r="E7" s="19">
        <f t="shared" si="2"/>
        <v>977.178709724238</v>
      </c>
      <c r="F7" s="22">
        <f>974+3</f>
        <v>977</v>
      </c>
      <c r="G7" s="21">
        <f t="shared" si="3"/>
        <v>-0.17870972423804687</v>
      </c>
    </row>
    <row r="8" spans="1:8" s="8" customFormat="1" ht="15">
      <c r="A8" s="4" t="s">
        <v>174</v>
      </c>
      <c r="B8" s="20">
        <v>78.7</v>
      </c>
      <c r="C8" s="20">
        <f t="shared" si="0"/>
        <v>5.841716773792246</v>
      </c>
      <c r="D8" s="84">
        <f t="shared" si="1"/>
        <v>84.54171677379225</v>
      </c>
      <c r="E8" s="19">
        <f t="shared" si="2"/>
        <v>4068.992828322621</v>
      </c>
      <c r="F8" s="22">
        <f>4047+35</f>
        <v>4082</v>
      </c>
      <c r="G8" s="21">
        <f t="shared" si="3"/>
        <v>13.00717167737912</v>
      </c>
      <c r="H8" s="45"/>
    </row>
    <row r="9" spans="1:8" s="8" customFormat="1" ht="15">
      <c r="A9" s="4" t="s">
        <v>92</v>
      </c>
      <c r="B9" s="20">
        <v>7.5</v>
      </c>
      <c r="C9" s="20">
        <f t="shared" si="0"/>
        <v>0.5567074434998964</v>
      </c>
      <c r="D9" s="84">
        <f t="shared" si="1"/>
        <v>8.056707443499896</v>
      </c>
      <c r="E9" s="19">
        <f t="shared" si="2"/>
        <v>387.76932925565</v>
      </c>
      <c r="F9" s="22">
        <f>386-23</f>
        <v>363</v>
      </c>
      <c r="G9" s="21">
        <f t="shared" si="3"/>
        <v>-24.769329255650007</v>
      </c>
      <c r="H9" s="45" t="s">
        <v>377</v>
      </c>
    </row>
    <row r="10" spans="1:8" s="8" customFormat="1" ht="15">
      <c r="A10" s="4" t="s">
        <v>55</v>
      </c>
      <c r="B10" s="20">
        <v>4.2</v>
      </c>
      <c r="C10" s="20">
        <f t="shared" si="0"/>
        <v>0.311756168359942</v>
      </c>
      <c r="D10" s="84">
        <f t="shared" si="1"/>
        <v>4.511756168359942</v>
      </c>
      <c r="E10" s="19">
        <f t="shared" si="2"/>
        <v>217.15082438316404</v>
      </c>
      <c r="F10" s="22">
        <v>209</v>
      </c>
      <c r="G10" s="21">
        <f t="shared" si="3"/>
        <v>-8.150824383164036</v>
      </c>
      <c r="H10" s="45"/>
    </row>
    <row r="11" spans="1:8" s="8" customFormat="1" ht="15">
      <c r="A11" s="4" t="s">
        <v>14</v>
      </c>
      <c r="B11" s="20">
        <f>19.9/2</f>
        <v>9.95</v>
      </c>
      <c r="C11" s="20">
        <f t="shared" si="0"/>
        <v>0.7385652083765292</v>
      </c>
      <c r="D11" s="84">
        <f t="shared" si="1"/>
        <v>10.688565208376529</v>
      </c>
      <c r="E11" s="19">
        <f t="shared" si="2"/>
        <v>514.4406434791624</v>
      </c>
      <c r="F11" s="22">
        <f>511+2</f>
        <v>513</v>
      </c>
      <c r="G11" s="21">
        <f t="shared" si="3"/>
        <v>-1.4406434791624179</v>
      </c>
      <c r="H11" s="45"/>
    </row>
    <row r="12" spans="1:8" s="8" customFormat="1" ht="15">
      <c r="A12" s="4" t="s">
        <v>95</v>
      </c>
      <c r="B12" s="20">
        <v>10.9</v>
      </c>
      <c r="C12" s="20">
        <f t="shared" si="0"/>
        <v>0.8090814845531827</v>
      </c>
      <c r="D12" s="84">
        <f t="shared" si="1"/>
        <v>11.709081484553183</v>
      </c>
      <c r="E12" s="19">
        <f t="shared" si="2"/>
        <v>563.5580918515448</v>
      </c>
      <c r="F12" s="22">
        <f>50+200+36</f>
        <v>286</v>
      </c>
      <c r="G12" s="21">
        <f t="shared" si="3"/>
        <v>-277.55809185154476</v>
      </c>
      <c r="H12" s="8" t="s">
        <v>378</v>
      </c>
    </row>
    <row r="13" spans="1:8" s="8" customFormat="1" ht="15">
      <c r="A13" s="4" t="s">
        <v>182</v>
      </c>
      <c r="B13" s="20">
        <v>30</v>
      </c>
      <c r="C13" s="20">
        <f t="shared" si="0"/>
        <v>2.2268297739995857</v>
      </c>
      <c r="D13" s="84">
        <f t="shared" si="1"/>
        <v>32.22682977399958</v>
      </c>
      <c r="E13" s="19">
        <f t="shared" si="2"/>
        <v>1551.0773170226</v>
      </c>
      <c r="F13" s="22">
        <f>1007+539+5</f>
        <v>1551</v>
      </c>
      <c r="G13" s="21">
        <f t="shared" si="3"/>
        <v>-0.07731702260002749</v>
      </c>
      <c r="H13" s="96" t="s">
        <v>379</v>
      </c>
    </row>
    <row r="14" spans="1:7" s="8" customFormat="1" ht="15">
      <c r="A14" s="7" t="s">
        <v>242</v>
      </c>
      <c r="B14" s="20">
        <v>31.2</v>
      </c>
      <c r="C14" s="20">
        <f t="shared" si="0"/>
        <v>2.315902964959569</v>
      </c>
      <c r="D14" s="85"/>
      <c r="E14" s="28"/>
      <c r="F14" s="28"/>
      <c r="G14" s="28"/>
    </row>
    <row r="15" spans="1:7" s="8" customFormat="1" ht="15">
      <c r="A15" s="25"/>
      <c r="B15" s="86">
        <f>SUM(B4:B14)</f>
        <v>241.14999999999995</v>
      </c>
      <c r="C15" s="86">
        <v>17.9</v>
      </c>
      <c r="D15" s="91"/>
      <c r="E15" s="28"/>
      <c r="F15" s="28"/>
      <c r="G15" s="28"/>
    </row>
    <row r="18" ht="23.25">
      <c r="A18" s="89" t="s">
        <v>308</v>
      </c>
    </row>
    <row r="19" ht="31.5">
      <c r="A19" s="51" t="s">
        <v>8</v>
      </c>
    </row>
    <row r="20" ht="15">
      <c r="A20" s="58" t="s">
        <v>380</v>
      </c>
    </row>
    <row r="21" ht="15">
      <c r="A21" s="58" t="s">
        <v>381</v>
      </c>
    </row>
    <row r="22" ht="31.5">
      <c r="A22" s="51" t="s">
        <v>155</v>
      </c>
    </row>
    <row r="23" spans="1:2" ht="15">
      <c r="A23" s="58" t="s">
        <v>382</v>
      </c>
      <c r="B23" t="s">
        <v>383</v>
      </c>
    </row>
    <row r="24" ht="31.5">
      <c r="A24" s="51" t="s">
        <v>384</v>
      </c>
    </row>
    <row r="25" ht="15">
      <c r="A25" s="58" t="s">
        <v>385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8" customFormat="1" ht="21.75" customHeight="1">
      <c r="A1" s="9" t="s">
        <v>205</v>
      </c>
      <c r="B1" s="10">
        <v>41804</v>
      </c>
      <c r="C1" s="10"/>
      <c r="D1" s="11" t="s">
        <v>206</v>
      </c>
      <c r="E1" s="12">
        <v>47.41</v>
      </c>
      <c r="G1" s="8" t="s">
        <v>207</v>
      </c>
    </row>
    <row r="2" spans="1:2" s="8" customFormat="1" ht="23.25" customHeight="1">
      <c r="A2" s="33" t="s">
        <v>386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8</v>
      </c>
      <c r="B4" s="20">
        <v>17.5</v>
      </c>
      <c r="C4" s="20">
        <f aca="true" t="shared" si="0" ref="C4:C13">B4/$B$14*$C$14</f>
        <v>1.5438639724001968</v>
      </c>
      <c r="D4" s="84">
        <f aca="true" t="shared" si="1" ref="D4:D12">B4+C4</f>
        <v>19.043863972400196</v>
      </c>
      <c r="E4" s="19">
        <f aca="true" t="shared" si="2" ref="E4:E12">D4*$E$1</f>
        <v>902.8695909314932</v>
      </c>
      <c r="F4" s="22">
        <v>903</v>
      </c>
      <c r="G4" s="21">
        <f aca="true" t="shared" si="3" ref="G4:G12">F4-E4</f>
        <v>0.13040906850676492</v>
      </c>
    </row>
    <row r="5" spans="1:7" s="8" customFormat="1" ht="15">
      <c r="A5" s="4" t="s">
        <v>193</v>
      </c>
      <c r="B5" s="20">
        <v>11.8</v>
      </c>
      <c r="C5" s="20">
        <f t="shared" si="0"/>
        <v>1.041005421389847</v>
      </c>
      <c r="D5" s="84">
        <f t="shared" si="1"/>
        <v>12.841005421389848</v>
      </c>
      <c r="E5" s="19">
        <f t="shared" si="2"/>
        <v>608.7920670280927</v>
      </c>
      <c r="F5" s="22">
        <v>609</v>
      </c>
      <c r="G5" s="21">
        <f t="shared" si="3"/>
        <v>0.20793297190732574</v>
      </c>
    </row>
    <row r="6" spans="1:7" s="8" customFormat="1" ht="15">
      <c r="A6" s="4" t="s">
        <v>50</v>
      </c>
      <c r="B6" s="20">
        <v>9.95</v>
      </c>
      <c r="C6" s="20">
        <f t="shared" si="0"/>
        <v>0.8777969443075403</v>
      </c>
      <c r="D6" s="84">
        <f t="shared" si="1"/>
        <v>10.82779694430754</v>
      </c>
      <c r="E6" s="19">
        <f t="shared" si="2"/>
        <v>513.3458531296204</v>
      </c>
      <c r="F6" s="22">
        <v>508</v>
      </c>
      <c r="G6" s="21">
        <f t="shared" si="3"/>
        <v>-5.345853129620423</v>
      </c>
    </row>
    <row r="7" spans="1:7" s="8" customFormat="1" ht="15">
      <c r="A7" s="4" t="s">
        <v>136</v>
      </c>
      <c r="B7" s="20">
        <v>37.7</v>
      </c>
      <c r="C7" s="20">
        <f t="shared" si="0"/>
        <v>3.3259241005421383</v>
      </c>
      <c r="D7" s="84">
        <f t="shared" si="1"/>
        <v>41.02592410054214</v>
      </c>
      <c r="E7" s="19">
        <f t="shared" si="2"/>
        <v>1945.0390616067027</v>
      </c>
      <c r="F7" s="22">
        <v>1945</v>
      </c>
      <c r="G7" s="21">
        <f t="shared" si="3"/>
        <v>-0.039061606702716745</v>
      </c>
    </row>
    <row r="8" spans="1:8" s="8" customFormat="1" ht="15">
      <c r="A8" s="4" t="s">
        <v>101</v>
      </c>
      <c r="B8" s="20">
        <v>34.1</v>
      </c>
      <c r="C8" s="20">
        <f t="shared" si="0"/>
        <v>3.008329226219812</v>
      </c>
      <c r="D8" s="84">
        <f t="shared" si="1"/>
        <v>37.108329226219816</v>
      </c>
      <c r="E8" s="19">
        <f t="shared" si="2"/>
        <v>1759.3058886150814</v>
      </c>
      <c r="F8" s="22">
        <v>1759</v>
      </c>
      <c r="G8" s="21">
        <f t="shared" si="3"/>
        <v>-0.3058886150813578</v>
      </c>
      <c r="H8" s="45"/>
    </row>
    <row r="9" spans="1:8" s="8" customFormat="1" ht="15">
      <c r="A9" s="4" t="s">
        <v>387</v>
      </c>
      <c r="B9" s="20">
        <v>25.9</v>
      </c>
      <c r="C9" s="20">
        <f t="shared" si="0"/>
        <v>2.284918679152291</v>
      </c>
      <c r="D9" s="84">
        <f t="shared" si="1"/>
        <v>28.18491867915229</v>
      </c>
      <c r="E9" s="19">
        <f t="shared" si="2"/>
        <v>1336.24699457861</v>
      </c>
      <c r="F9" s="22">
        <v>1336</v>
      </c>
      <c r="G9" s="21">
        <f t="shared" si="3"/>
        <v>-0.2469945786099288</v>
      </c>
      <c r="H9" s="45"/>
    </row>
    <row r="10" spans="1:8" s="8" customFormat="1" ht="15">
      <c r="A10" s="4" t="s">
        <v>115</v>
      </c>
      <c r="B10" s="20">
        <v>8.9</v>
      </c>
      <c r="C10" s="20">
        <f t="shared" si="0"/>
        <v>0.7851651059635286</v>
      </c>
      <c r="D10" s="84">
        <f t="shared" si="1"/>
        <v>9.685165105963529</v>
      </c>
      <c r="E10" s="19">
        <f t="shared" si="2"/>
        <v>459.1736776737309</v>
      </c>
      <c r="F10" s="22">
        <v>459</v>
      </c>
      <c r="G10" s="21">
        <f t="shared" si="3"/>
        <v>-0.17367767373087872</v>
      </c>
      <c r="H10" s="45"/>
    </row>
    <row r="11" spans="1:8" s="8" customFormat="1" ht="15">
      <c r="A11" s="4" t="s">
        <v>388</v>
      </c>
      <c r="B11" s="20">
        <v>13.85</v>
      </c>
      <c r="C11" s="20">
        <f t="shared" si="0"/>
        <v>1.221858058156727</v>
      </c>
      <c r="D11" s="84">
        <f t="shared" si="1"/>
        <v>15.071858058156726</v>
      </c>
      <c r="E11" s="19">
        <f t="shared" si="2"/>
        <v>714.5567905372103</v>
      </c>
      <c r="F11" s="22">
        <v>714</v>
      </c>
      <c r="G11" s="21">
        <f t="shared" si="3"/>
        <v>-0.5567905372103041</v>
      </c>
      <c r="H11" s="45"/>
    </row>
    <row r="12" spans="1:7" s="8" customFormat="1" ht="15">
      <c r="A12" s="4" t="s">
        <v>118</v>
      </c>
      <c r="B12" s="20">
        <v>12.9</v>
      </c>
      <c r="C12" s="20">
        <f t="shared" si="0"/>
        <v>1.1380482996550023</v>
      </c>
      <c r="D12" s="84">
        <f t="shared" si="1"/>
        <v>14.038048299655003</v>
      </c>
      <c r="E12" s="19">
        <f t="shared" si="2"/>
        <v>665.5438698866436</v>
      </c>
      <c r="F12" s="22">
        <v>665</v>
      </c>
      <c r="G12" s="21">
        <f t="shared" si="3"/>
        <v>-0.5438698866436198</v>
      </c>
    </row>
    <row r="13" spans="1:7" s="8" customFormat="1" ht="15">
      <c r="A13" s="7" t="s">
        <v>242</v>
      </c>
      <c r="B13" s="20">
        <v>30.3</v>
      </c>
      <c r="C13" s="20">
        <f t="shared" si="0"/>
        <v>2.6730901922129124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202.90000000000003</v>
      </c>
      <c r="C14" s="86">
        <v>17.9</v>
      </c>
      <c r="D14" s="91"/>
      <c r="E14" s="28"/>
      <c r="F14" s="28"/>
      <c r="G14" s="28"/>
    </row>
    <row r="17" ht="23.25">
      <c r="A17" s="89" t="s">
        <v>308</v>
      </c>
    </row>
    <row r="18" ht="31.5">
      <c r="A18" s="51" t="s">
        <v>8</v>
      </c>
    </row>
    <row r="19" ht="15">
      <c r="A19" s="58" t="s">
        <v>381</v>
      </c>
    </row>
    <row r="20" ht="31.5">
      <c r="A20" s="92" t="s">
        <v>101</v>
      </c>
    </row>
    <row r="21" ht="15">
      <c r="A21" s="58" t="s">
        <v>389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8" customFormat="1" ht="21.75" customHeight="1">
      <c r="A1" s="9" t="s">
        <v>205</v>
      </c>
      <c r="B1" s="10">
        <v>41813</v>
      </c>
      <c r="C1" s="10"/>
      <c r="D1" s="11" t="s">
        <v>206</v>
      </c>
      <c r="E1" s="12">
        <v>47</v>
      </c>
      <c r="G1" s="8" t="s">
        <v>207</v>
      </c>
    </row>
    <row r="2" spans="1:2" s="8" customFormat="1" ht="23.25" customHeight="1">
      <c r="A2" s="33" t="s">
        <v>390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115</v>
      </c>
      <c r="B4" s="20">
        <v>20.8</v>
      </c>
      <c r="C4" s="20">
        <f aca="true" t="shared" si="0" ref="C4:C17">B4/$B$18*$C$18</f>
        <v>1.389098235272171</v>
      </c>
      <c r="D4" s="84">
        <f aca="true" t="shared" si="1" ref="D4:D10">B4+C4</f>
        <v>22.189098235272173</v>
      </c>
      <c r="E4" s="19">
        <f aca="true" t="shared" si="2" ref="E4:E10">D4*$E$1</f>
        <v>1042.887617057792</v>
      </c>
      <c r="F4" s="22">
        <v>1056</v>
      </c>
      <c r="G4" s="21">
        <f aca="true" t="shared" si="3" ref="G4:G10">F4-E4</f>
        <v>13.112382942207887</v>
      </c>
    </row>
    <row r="5" spans="1:7" s="8" customFormat="1" ht="15">
      <c r="A5" s="4" t="s">
        <v>110</v>
      </c>
      <c r="B5" s="20">
        <v>12.84</v>
      </c>
      <c r="C5" s="20">
        <f t="shared" si="0"/>
        <v>0.8575010260045517</v>
      </c>
      <c r="D5" s="84">
        <f t="shared" si="1"/>
        <v>13.697501026004552</v>
      </c>
      <c r="E5" s="19">
        <f t="shared" si="2"/>
        <v>643.7825482222139</v>
      </c>
      <c r="F5" s="22">
        <v>652</v>
      </c>
      <c r="G5" s="21">
        <f t="shared" si="3"/>
        <v>8.217451777786096</v>
      </c>
    </row>
    <row r="6" spans="1:7" s="8" customFormat="1" ht="15">
      <c r="A6" s="4" t="s">
        <v>184</v>
      </c>
      <c r="B6" s="20">
        <v>6.2</v>
      </c>
      <c r="C6" s="20">
        <f t="shared" si="0"/>
        <v>0.4140581278215126</v>
      </c>
      <c r="D6" s="84">
        <f t="shared" si="1"/>
        <v>6.6140581278215125</v>
      </c>
      <c r="E6" s="19">
        <f t="shared" si="2"/>
        <v>310.8607320076111</v>
      </c>
      <c r="F6" s="22">
        <v>314</v>
      </c>
      <c r="G6" s="21">
        <f t="shared" si="3"/>
        <v>3.139267992388909</v>
      </c>
    </row>
    <row r="7" spans="1:7" s="8" customFormat="1" ht="15">
      <c r="A7" s="4" t="s">
        <v>174</v>
      </c>
      <c r="B7" s="20">
        <v>23.7</v>
      </c>
      <c r="C7" s="20">
        <f t="shared" si="0"/>
        <v>1.5827705853822331</v>
      </c>
      <c r="D7" s="84">
        <f t="shared" si="1"/>
        <v>25.28277058538223</v>
      </c>
      <c r="E7" s="19">
        <f t="shared" si="2"/>
        <v>1188.2902175129648</v>
      </c>
      <c r="F7" s="22">
        <v>1203</v>
      </c>
      <c r="G7" s="21">
        <f t="shared" si="3"/>
        <v>14.709782487035227</v>
      </c>
    </row>
    <row r="8" spans="1:8" s="8" customFormat="1" ht="15">
      <c r="A8" s="4" t="s">
        <v>99</v>
      </c>
      <c r="B8" s="20">
        <v>11.6</v>
      </c>
      <c r="C8" s="20">
        <f t="shared" si="0"/>
        <v>0.7746894004402493</v>
      </c>
      <c r="D8" s="84">
        <f t="shared" si="1"/>
        <v>12.374689400440248</v>
      </c>
      <c r="E8" s="19">
        <f t="shared" si="2"/>
        <v>581.6104018206917</v>
      </c>
      <c r="F8" s="22">
        <v>580</v>
      </c>
      <c r="G8" s="21">
        <f t="shared" si="3"/>
        <v>-1.6104018206916635</v>
      </c>
      <c r="H8" s="45"/>
    </row>
    <row r="9" spans="1:8" s="8" customFormat="1" ht="15">
      <c r="A9" s="4" t="s">
        <v>201</v>
      </c>
      <c r="B9" s="20">
        <v>9.9</v>
      </c>
      <c r="C9" s="20">
        <f t="shared" si="0"/>
        <v>0.6611573331343507</v>
      </c>
      <c r="D9" s="84">
        <f t="shared" si="1"/>
        <v>10.561157333134352</v>
      </c>
      <c r="E9" s="19">
        <f t="shared" si="2"/>
        <v>496.37439465731455</v>
      </c>
      <c r="F9" s="22">
        <v>503</v>
      </c>
      <c r="G9" s="21">
        <f t="shared" si="3"/>
        <v>6.625605342685446</v>
      </c>
      <c r="H9" s="45"/>
    </row>
    <row r="10" spans="1:8" s="8" customFormat="1" ht="15">
      <c r="A10" s="4" t="s">
        <v>165</v>
      </c>
      <c r="B10" s="20">
        <v>30.7</v>
      </c>
      <c r="C10" s="20">
        <f t="shared" si="0"/>
        <v>2.050255568406522</v>
      </c>
      <c r="D10" s="84">
        <f t="shared" si="1"/>
        <v>32.75025556840652</v>
      </c>
      <c r="E10" s="19">
        <f t="shared" si="2"/>
        <v>1539.2620117151066</v>
      </c>
      <c r="F10" s="22">
        <v>1558</v>
      </c>
      <c r="G10" s="21">
        <f t="shared" si="3"/>
        <v>18.73798828489339</v>
      </c>
      <c r="H10" s="45"/>
    </row>
    <row r="11" spans="1:8" s="8" customFormat="1" ht="15">
      <c r="A11" s="4" t="s">
        <v>133</v>
      </c>
      <c r="B11" s="20">
        <v>6.2</v>
      </c>
      <c r="C11" s="20">
        <f t="shared" si="0"/>
        <v>0.4140581278215126</v>
      </c>
      <c r="D11" s="84">
        <f aca="true" t="shared" si="4" ref="D11:D16">B11+C11</f>
        <v>6.6140581278215125</v>
      </c>
      <c r="E11" s="19">
        <f aca="true" t="shared" si="5" ref="E11:E16">D11*$E$1</f>
        <v>310.8607320076111</v>
      </c>
      <c r="F11" s="22">
        <f>315-4</f>
        <v>311</v>
      </c>
      <c r="G11" s="21">
        <f aca="true" t="shared" si="6" ref="G11:G16">F11-E11</f>
        <v>0.13926799238890908</v>
      </c>
      <c r="H11" s="45" t="s">
        <v>391</v>
      </c>
    </row>
    <row r="12" spans="1:8" s="8" customFormat="1" ht="15">
      <c r="A12" s="7" t="s">
        <v>97</v>
      </c>
      <c r="B12" s="20">
        <v>42.8</v>
      </c>
      <c r="C12" s="20">
        <f t="shared" si="0"/>
        <v>2.8583367533485053</v>
      </c>
      <c r="D12" s="84">
        <f t="shared" si="4"/>
        <v>45.6583367533485</v>
      </c>
      <c r="E12" s="19">
        <f t="shared" si="5"/>
        <v>2145.9418274073796</v>
      </c>
      <c r="F12" s="22">
        <v>2168</v>
      </c>
      <c r="G12" s="21">
        <f t="shared" si="6"/>
        <v>22.058172592620394</v>
      </c>
      <c r="H12" s="45"/>
    </row>
    <row r="13" spans="1:8" s="8" customFormat="1" ht="15">
      <c r="A13" s="7" t="s">
        <v>200</v>
      </c>
      <c r="B13" s="20">
        <v>12.64</v>
      </c>
      <c r="C13" s="20">
        <f t="shared" si="0"/>
        <v>0.8441443122038578</v>
      </c>
      <c r="D13" s="84">
        <f t="shared" si="4"/>
        <v>13.484144312203858</v>
      </c>
      <c r="E13" s="19">
        <f t="shared" si="5"/>
        <v>633.7547826735813</v>
      </c>
      <c r="F13" s="22">
        <v>642</v>
      </c>
      <c r="G13" s="21">
        <f t="shared" si="6"/>
        <v>8.245217326418697</v>
      </c>
      <c r="H13" s="45"/>
    </row>
    <row r="14" spans="1:8" s="8" customFormat="1" ht="15">
      <c r="A14" t="s">
        <v>45</v>
      </c>
      <c r="B14" s="20">
        <v>42.9</v>
      </c>
      <c r="C14" s="20">
        <f t="shared" si="0"/>
        <v>2.865015110248853</v>
      </c>
      <c r="D14" s="84">
        <f t="shared" si="4"/>
        <v>45.765015110248854</v>
      </c>
      <c r="E14" s="19">
        <f t="shared" si="5"/>
        <v>2150.9557101816963</v>
      </c>
      <c r="F14" s="22">
        <v>2178</v>
      </c>
      <c r="G14" s="21">
        <f t="shared" si="6"/>
        <v>27.044289818303696</v>
      </c>
      <c r="H14" s="45"/>
    </row>
    <row r="15" spans="1:8" s="8" customFormat="1" ht="15">
      <c r="A15" s="4" t="s">
        <v>173</v>
      </c>
      <c r="B15" s="20">
        <v>9.2</v>
      </c>
      <c r="C15" s="20">
        <f t="shared" si="0"/>
        <v>0.6144088348319218</v>
      </c>
      <c r="D15" s="84">
        <f t="shared" si="4"/>
        <v>9.814408834831921</v>
      </c>
      <c r="E15" s="19">
        <f t="shared" si="5"/>
        <v>461.2772152371003</v>
      </c>
      <c r="F15" s="22">
        <v>467</v>
      </c>
      <c r="G15" s="21">
        <f t="shared" si="6"/>
        <v>5.722784762899721</v>
      </c>
      <c r="H15" s="45"/>
    </row>
    <row r="16" spans="1:7" s="8" customFormat="1" ht="15">
      <c r="A16" s="4" t="s">
        <v>190</v>
      </c>
      <c r="B16" s="20">
        <v>9.9</v>
      </c>
      <c r="C16" s="20">
        <f t="shared" si="0"/>
        <v>0.6611573331343507</v>
      </c>
      <c r="D16" s="84">
        <f t="shared" si="4"/>
        <v>10.561157333134352</v>
      </c>
      <c r="E16" s="19">
        <f t="shared" si="5"/>
        <v>496.37439465731455</v>
      </c>
      <c r="F16" s="22">
        <v>503</v>
      </c>
      <c r="G16" s="21">
        <f t="shared" si="6"/>
        <v>6.625605342685446</v>
      </c>
    </row>
    <row r="17" spans="1:7" s="8" customFormat="1" ht="15">
      <c r="A17" s="7" t="s">
        <v>224</v>
      </c>
      <c r="B17" s="20">
        <v>28.65</v>
      </c>
      <c r="C17" s="20">
        <f t="shared" si="0"/>
        <v>1.9133492519494086</v>
      </c>
      <c r="D17" s="85"/>
      <c r="E17" s="28"/>
      <c r="F17" s="28"/>
      <c r="G17" s="28"/>
    </row>
    <row r="18" spans="1:7" s="8" customFormat="1" ht="15">
      <c r="A18" s="25"/>
      <c r="B18" s="86">
        <f>SUM(B4:B17)</f>
        <v>268.03</v>
      </c>
      <c r="C18" s="86">
        <v>17.9</v>
      </c>
      <c r="D18" s="91"/>
      <c r="E18" s="28"/>
      <c r="F18" s="28"/>
      <c r="G18" s="28"/>
    </row>
    <row r="21" ht="23.25">
      <c r="A21" s="89" t="s">
        <v>308</v>
      </c>
    </row>
    <row r="22" ht="31.5">
      <c r="A22" s="92" t="s">
        <v>99</v>
      </c>
    </row>
    <row r="23" ht="15">
      <c r="A23" s="58" t="s">
        <v>392</v>
      </c>
    </row>
    <row r="24" ht="31.5">
      <c r="A24" s="92" t="s">
        <v>97</v>
      </c>
    </row>
    <row r="25" ht="15">
      <c r="A25" s="58" t="s">
        <v>393</v>
      </c>
    </row>
    <row r="26" ht="31.5">
      <c r="A26" s="92" t="s">
        <v>200</v>
      </c>
    </row>
    <row r="27" ht="15">
      <c r="A27" s="58" t="s">
        <v>394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8" customFormat="1" ht="21.75" customHeight="1">
      <c r="A1" s="9" t="s">
        <v>205</v>
      </c>
      <c r="B1" s="10">
        <v>41831</v>
      </c>
      <c r="C1" s="10"/>
      <c r="D1" s="11" t="s">
        <v>206</v>
      </c>
      <c r="E1" s="12">
        <v>47.19</v>
      </c>
      <c r="G1" s="8" t="s">
        <v>207</v>
      </c>
    </row>
    <row r="2" spans="1:2" s="8" customFormat="1" ht="23.25" customHeight="1">
      <c r="A2" s="33" t="s">
        <v>395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91</v>
      </c>
      <c r="B4" s="20">
        <v>8.94</v>
      </c>
      <c r="C4" s="20">
        <f aca="true" t="shared" si="0" ref="C4:C12">B4/$B$13*$C$13</f>
        <v>0.7707638955784607</v>
      </c>
      <c r="D4" s="84">
        <f aca="true" t="shared" si="1" ref="D4:D11">B4+C4</f>
        <v>9.71076389557846</v>
      </c>
      <c r="E4" s="19">
        <f aca="true" t="shared" si="2" ref="E4:E11">D4*$E$1</f>
        <v>458.25094823234747</v>
      </c>
      <c r="F4" s="22">
        <v>457</v>
      </c>
      <c r="G4" s="21">
        <f aca="true" t="shared" si="3" ref="G4:G11">F4-E4</f>
        <v>-1.2509482323474685</v>
      </c>
    </row>
    <row r="5" spans="1:7" s="8" customFormat="1" ht="15">
      <c r="A5" s="4" t="s">
        <v>148</v>
      </c>
      <c r="B5" s="20">
        <v>8.5</v>
      </c>
      <c r="C5" s="20">
        <f t="shared" si="0"/>
        <v>0.7328292072054716</v>
      </c>
      <c r="D5" s="84">
        <f t="shared" si="1"/>
        <v>9.232829207205471</v>
      </c>
      <c r="E5" s="19">
        <f t="shared" si="2"/>
        <v>435.69721028802616</v>
      </c>
      <c r="F5" s="22">
        <v>435</v>
      </c>
      <c r="G5" s="21">
        <f t="shared" si="3"/>
        <v>-0.6972102880261559</v>
      </c>
    </row>
    <row r="6" spans="1:7" s="8" customFormat="1" ht="15">
      <c r="A6" s="4" t="s">
        <v>188</v>
      </c>
      <c r="B6" s="20">
        <v>17.5</v>
      </c>
      <c r="C6" s="20">
        <f t="shared" si="0"/>
        <v>1.5087660148347943</v>
      </c>
      <c r="D6" s="84">
        <f t="shared" si="1"/>
        <v>19.008766014834794</v>
      </c>
      <c r="E6" s="19">
        <f t="shared" si="2"/>
        <v>897.0236682400539</v>
      </c>
      <c r="F6" s="22">
        <v>897</v>
      </c>
      <c r="G6" s="21">
        <f t="shared" si="3"/>
        <v>-0.023668240053893896</v>
      </c>
    </row>
    <row r="7" spans="1:8" s="8" customFormat="1" ht="15">
      <c r="A7" s="4" t="s">
        <v>115</v>
      </c>
      <c r="B7" s="20">
        <v>18.8</v>
      </c>
      <c r="C7" s="20">
        <f t="shared" si="0"/>
        <v>1.6208457759368078</v>
      </c>
      <c r="D7" s="84">
        <f t="shared" si="1"/>
        <v>20.420845775936808</v>
      </c>
      <c r="E7" s="19">
        <f t="shared" si="2"/>
        <v>963.6597121664579</v>
      </c>
      <c r="F7" s="22">
        <f>962-11</f>
        <v>951</v>
      </c>
      <c r="G7" s="21">
        <f t="shared" si="3"/>
        <v>-12.659712166457894</v>
      </c>
      <c r="H7" s="45" t="s">
        <v>396</v>
      </c>
    </row>
    <row r="8" spans="1:8" s="8" customFormat="1" ht="15">
      <c r="A8" s="4" t="s">
        <v>37</v>
      </c>
      <c r="B8" s="20">
        <v>16.08</v>
      </c>
      <c r="C8" s="20">
        <f t="shared" si="0"/>
        <v>1.3863404296310564</v>
      </c>
      <c r="D8" s="84">
        <f t="shared" si="1"/>
        <v>17.466340429631053</v>
      </c>
      <c r="E8" s="19">
        <f t="shared" si="2"/>
        <v>824.2366048742894</v>
      </c>
      <c r="F8" s="22">
        <f>822+2</f>
        <v>824</v>
      </c>
      <c r="G8" s="21">
        <f t="shared" si="3"/>
        <v>-0.2366048742893554</v>
      </c>
      <c r="H8" s="45"/>
    </row>
    <row r="9" spans="1:8" s="8" customFormat="1" ht="15">
      <c r="A9" s="4" t="s">
        <v>36</v>
      </c>
      <c r="B9" s="20">
        <v>27</v>
      </c>
      <c r="C9" s="20">
        <f t="shared" si="0"/>
        <v>2.3278104228879686</v>
      </c>
      <c r="D9" s="84">
        <f t="shared" si="1"/>
        <v>29.327810422887968</v>
      </c>
      <c r="E9" s="19">
        <f t="shared" si="2"/>
        <v>1383.9793738560832</v>
      </c>
      <c r="F9" s="22">
        <f>1451-70</f>
        <v>1381</v>
      </c>
      <c r="G9" s="21">
        <f t="shared" si="3"/>
        <v>-2.979373856083157</v>
      </c>
      <c r="H9" s="45"/>
    </row>
    <row r="10" spans="1:8" s="8" customFormat="1" ht="15">
      <c r="A10" s="4" t="s">
        <v>98</v>
      </c>
      <c r="B10" s="20">
        <v>35.7</v>
      </c>
      <c r="C10" s="20">
        <f t="shared" si="0"/>
        <v>3.077882670262981</v>
      </c>
      <c r="D10" s="84">
        <f t="shared" si="1"/>
        <v>38.77788267026298</v>
      </c>
      <c r="E10" s="19">
        <f t="shared" si="2"/>
        <v>1829.9282832097101</v>
      </c>
      <c r="F10" s="22">
        <f>1826+4</f>
        <v>1830</v>
      </c>
      <c r="G10" s="21">
        <f t="shared" si="3"/>
        <v>0.07171679028988365</v>
      </c>
      <c r="H10" s="45"/>
    </row>
    <row r="11" spans="1:8" s="8" customFormat="1" ht="15">
      <c r="A11" s="7" t="s">
        <v>59</v>
      </c>
      <c r="B11" s="20">
        <v>24.2</v>
      </c>
      <c r="C11" s="20">
        <f t="shared" si="0"/>
        <v>2.0864078605144014</v>
      </c>
      <c r="D11" s="84">
        <f t="shared" si="1"/>
        <v>26.2864078605144</v>
      </c>
      <c r="E11" s="19">
        <f t="shared" si="2"/>
        <v>1240.4555869376745</v>
      </c>
      <c r="F11" s="22">
        <f>1238+2</f>
        <v>1240</v>
      </c>
      <c r="G11" s="21">
        <f t="shared" si="3"/>
        <v>-0.45558693767452496</v>
      </c>
      <c r="H11" s="45"/>
    </row>
    <row r="12" spans="1:7" s="8" customFormat="1" ht="15">
      <c r="A12" s="7" t="s">
        <v>224</v>
      </c>
      <c r="B12" s="20">
        <v>50.9</v>
      </c>
      <c r="C12" s="20">
        <f t="shared" si="0"/>
        <v>4.388353723148059</v>
      </c>
      <c r="D12" s="85"/>
      <c r="E12" s="28"/>
      <c r="F12" s="28"/>
      <c r="G12" s="28"/>
    </row>
    <row r="13" spans="1:7" s="8" customFormat="1" ht="15">
      <c r="A13" s="25"/>
      <c r="B13" s="86">
        <v>207.61999999999998</v>
      </c>
      <c r="C13" s="86">
        <v>17.9</v>
      </c>
      <c r="D13" s="91"/>
      <c r="E13" s="28"/>
      <c r="F13" s="28"/>
      <c r="G13" s="28"/>
    </row>
    <row r="16" ht="23.25">
      <c r="A16" s="89" t="s">
        <v>308</v>
      </c>
    </row>
    <row r="17" ht="31.5">
      <c r="A17" s="51" t="s">
        <v>188</v>
      </c>
    </row>
    <row r="18" ht="15">
      <c r="A18" t="s">
        <v>397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205</v>
      </c>
      <c r="B1" s="10">
        <v>41232</v>
      </c>
      <c r="C1" s="10"/>
      <c r="D1" s="11" t="s">
        <v>206</v>
      </c>
      <c r="E1" s="12">
        <f>40.86</f>
        <v>40.86</v>
      </c>
      <c r="F1" s="8" t="s">
        <v>207</v>
      </c>
    </row>
    <row r="2" ht="23.25" customHeight="1">
      <c r="A2" s="33" t="s">
        <v>226</v>
      </c>
    </row>
    <row r="3" spans="1:9" s="15" customFormat="1" ht="45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15" customFormat="1" ht="15">
      <c r="A4" s="4" t="s">
        <v>143</v>
      </c>
      <c r="B4" s="16">
        <v>207.4</v>
      </c>
      <c r="C4" s="16">
        <f>B4*0.95</f>
        <v>197.03</v>
      </c>
      <c r="D4" s="16">
        <f aca="true" t="shared" si="0" ref="D4:D11">B4/$B$13*$D$13</f>
        <v>9.878378378378379</v>
      </c>
      <c r="E4" s="17">
        <f>(C4+D4)*$E$1</f>
        <v>8454.27634054054</v>
      </c>
      <c r="F4" s="18"/>
      <c r="G4" s="19">
        <f aca="true" t="shared" si="1" ref="G4:G11">E4-F4</f>
        <v>8454.27634054054</v>
      </c>
      <c r="H4" s="34">
        <v>8454</v>
      </c>
      <c r="I4" s="21">
        <f>H4-G4+F4</f>
        <v>-0.27634054054033186</v>
      </c>
    </row>
    <row r="5" spans="1:9" ht="15">
      <c r="A5" s="4" t="s">
        <v>49</v>
      </c>
      <c r="B5" s="16">
        <v>11.8</v>
      </c>
      <c r="C5" s="16">
        <f aca="true" t="shared" si="2" ref="C5:C11">B5*0.95</f>
        <v>11.21</v>
      </c>
      <c r="D5" s="16">
        <f t="shared" si="0"/>
        <v>0.5620292423571113</v>
      </c>
      <c r="E5" s="17">
        <f aca="true" t="shared" si="3" ref="E5:E11">(C5+D5)*$E$1</f>
        <v>481.0051148427116</v>
      </c>
      <c r="F5" s="18"/>
      <c r="G5" s="19">
        <f t="shared" si="1"/>
        <v>481.0051148427116</v>
      </c>
      <c r="H5" s="22">
        <v>483</v>
      </c>
      <c r="I5" s="21">
        <f>H5-G5+F5</f>
        <v>1.9948851572884223</v>
      </c>
    </row>
    <row r="6" spans="1:10" ht="15">
      <c r="A6" s="4" t="s">
        <v>61</v>
      </c>
      <c r="B6" s="16">
        <v>52.9</v>
      </c>
      <c r="C6" s="16">
        <f t="shared" si="2"/>
        <v>50.254999999999995</v>
      </c>
      <c r="D6" s="16">
        <f t="shared" si="0"/>
        <v>2.5196056712450154</v>
      </c>
      <c r="E6" s="17">
        <f t="shared" si="3"/>
        <v>2156.3703877270714</v>
      </c>
      <c r="F6" s="18"/>
      <c r="G6" s="19">
        <f t="shared" si="1"/>
        <v>2156.3703877270714</v>
      </c>
      <c r="H6" s="22">
        <f>1800+357</f>
        <v>2157</v>
      </c>
      <c r="I6" s="21">
        <f aca="true" t="shared" si="4" ref="I6:I11">H6-G6</f>
        <v>0.6296122729286253</v>
      </c>
      <c r="J6" s="33" t="s">
        <v>227</v>
      </c>
    </row>
    <row r="7" spans="1:10" ht="15">
      <c r="A7" s="4" t="s">
        <v>174</v>
      </c>
      <c r="B7" s="16">
        <v>55.2</v>
      </c>
      <c r="C7" s="16">
        <f t="shared" si="2"/>
        <v>52.44</v>
      </c>
      <c r="D7" s="16">
        <f t="shared" si="0"/>
        <v>2.6291537439078425</v>
      </c>
      <c r="E7" s="17">
        <f t="shared" si="3"/>
        <v>2250.1256219760744</v>
      </c>
      <c r="F7" s="18"/>
      <c r="G7" s="19">
        <f t="shared" si="1"/>
        <v>2250.1256219760744</v>
      </c>
      <c r="H7" s="22">
        <v>2950</v>
      </c>
      <c r="I7" s="21">
        <f t="shared" si="4"/>
        <v>699.8743780239256</v>
      </c>
      <c r="J7" s="33" t="s">
        <v>228</v>
      </c>
    </row>
    <row r="8" spans="1:9" ht="15">
      <c r="A8" s="4" t="s">
        <v>176</v>
      </c>
      <c r="B8" s="16">
        <v>18.9</v>
      </c>
      <c r="C8" s="16">
        <f t="shared" si="2"/>
        <v>17.955</v>
      </c>
      <c r="D8" s="16">
        <f t="shared" si="0"/>
        <v>0.9001993797075765</v>
      </c>
      <c r="E8" s="17">
        <f t="shared" si="3"/>
        <v>770.4234466548514</v>
      </c>
      <c r="F8" s="18"/>
      <c r="G8" s="19">
        <f t="shared" si="1"/>
        <v>770.4234466548514</v>
      </c>
      <c r="H8" s="22">
        <v>773</v>
      </c>
      <c r="I8" s="21">
        <f t="shared" si="4"/>
        <v>2.576553345148568</v>
      </c>
    </row>
    <row r="9" spans="1:10" ht="15">
      <c r="A9" s="4" t="s">
        <v>7</v>
      </c>
      <c r="B9" s="16">
        <v>43.9</v>
      </c>
      <c r="C9" s="16">
        <f t="shared" si="2"/>
        <v>41.705</v>
      </c>
      <c r="D9" s="16">
        <f t="shared" si="0"/>
        <v>2.0909392999556933</v>
      </c>
      <c r="E9" s="17">
        <f t="shared" si="3"/>
        <v>1789.5020797961895</v>
      </c>
      <c r="F9" s="18"/>
      <c r="G9" s="19">
        <f t="shared" si="1"/>
        <v>1789.5020797961895</v>
      </c>
      <c r="H9" s="22">
        <v>1796</v>
      </c>
      <c r="I9" s="21">
        <f>H9-G9-6</f>
        <v>0.4979202038105086</v>
      </c>
      <c r="J9" s="8" t="s">
        <v>229</v>
      </c>
    </row>
    <row r="10" spans="1:9" ht="15">
      <c r="A10" s="4" t="s">
        <v>163</v>
      </c>
      <c r="B10" s="16">
        <v>6.5</v>
      </c>
      <c r="C10" s="16">
        <f t="shared" si="2"/>
        <v>6.175</v>
      </c>
      <c r="D10" s="16">
        <f t="shared" si="0"/>
        <v>0.30959237926451044</v>
      </c>
      <c r="E10" s="17">
        <f t="shared" si="3"/>
        <v>264.9604446167479</v>
      </c>
      <c r="F10" s="18"/>
      <c r="G10" s="19">
        <f t="shared" si="1"/>
        <v>264.9604446167479</v>
      </c>
      <c r="H10" s="22">
        <v>266</v>
      </c>
      <c r="I10" s="21">
        <f t="shared" si="4"/>
        <v>1.0395553832520932</v>
      </c>
    </row>
    <row r="11" spans="1:9" ht="15">
      <c r="A11" s="4" t="s">
        <v>146</v>
      </c>
      <c r="B11" s="16">
        <v>20.5</v>
      </c>
      <c r="C11" s="16">
        <f t="shared" si="2"/>
        <v>19.474999999999998</v>
      </c>
      <c r="D11" s="16">
        <f t="shared" si="0"/>
        <v>0.976406734603456</v>
      </c>
      <c r="E11" s="17">
        <f t="shared" si="3"/>
        <v>835.644479175897</v>
      </c>
      <c r="F11" s="18"/>
      <c r="G11" s="19">
        <f t="shared" si="1"/>
        <v>835.644479175897</v>
      </c>
      <c r="H11" s="22">
        <f>500+336</f>
        <v>836</v>
      </c>
      <c r="I11" s="21">
        <f t="shared" si="4"/>
        <v>0.3555208241029959</v>
      </c>
    </row>
    <row r="12" spans="1:9" ht="15">
      <c r="A12" s="4" t="s">
        <v>224</v>
      </c>
      <c r="B12" s="16">
        <v>34.3</v>
      </c>
      <c r="C12" s="16"/>
      <c r="D12" s="16"/>
      <c r="E12" s="17"/>
      <c r="F12" s="18"/>
      <c r="G12" s="19"/>
      <c r="H12" s="22"/>
      <c r="I12" s="21"/>
    </row>
    <row r="13" spans="1:9" ht="15">
      <c r="A13" s="25"/>
      <c r="B13" s="26">
        <f>SUM(B4:B12)</f>
        <v>451.4</v>
      </c>
      <c r="C13" s="26">
        <f>SUM(C4:C12)</f>
        <v>396.245</v>
      </c>
      <c r="D13" s="26">
        <v>21.5</v>
      </c>
      <c r="E13" s="27">
        <f>B13*$E$1</f>
        <v>18444.203999999998</v>
      </c>
      <c r="F13" s="28"/>
      <c r="G13" s="28"/>
      <c r="H13" s="28"/>
      <c r="I13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8" customFormat="1" ht="21.75" customHeight="1">
      <c r="A1" s="9" t="s">
        <v>205</v>
      </c>
      <c r="B1" s="10">
        <v>41844</v>
      </c>
      <c r="C1" s="10"/>
      <c r="D1" s="11" t="s">
        <v>206</v>
      </c>
      <c r="E1" s="12">
        <v>48.07</v>
      </c>
      <c r="G1" s="8" t="s">
        <v>207</v>
      </c>
    </row>
    <row r="2" spans="1:2" s="8" customFormat="1" ht="23.25" customHeight="1">
      <c r="A2" s="33" t="s">
        <v>398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115</v>
      </c>
      <c r="B4" s="20">
        <v>9.14</v>
      </c>
      <c r="C4" s="20">
        <f>B4/$B$14*$C$14</f>
        <v>0.5800397078635752</v>
      </c>
      <c r="D4" s="84">
        <f aca="true" t="shared" si="0" ref="D4:D11">B4+C4</f>
        <v>9.720039707863576</v>
      </c>
      <c r="E4" s="19">
        <f aca="true" t="shared" si="1" ref="E4:E11">D4*$E$1</f>
        <v>467.2423087570021</v>
      </c>
      <c r="F4" s="22">
        <f>465+2</f>
        <v>467</v>
      </c>
      <c r="G4" s="21">
        <f aca="true" t="shared" si="2" ref="G4:G11">F4-E4</f>
        <v>-0.24230875700209253</v>
      </c>
    </row>
    <row r="5" spans="1:7" s="8" customFormat="1" ht="15">
      <c r="A5" s="4" t="s">
        <v>152</v>
      </c>
      <c r="B5" s="20">
        <v>68.05</v>
      </c>
      <c r="C5" s="20">
        <f aca="true" t="shared" si="3" ref="C5:C13">B5/$B$14*$C$14</f>
        <v>4.318566971566333</v>
      </c>
      <c r="D5" s="84">
        <f t="shared" si="0"/>
        <v>72.36856697156632</v>
      </c>
      <c r="E5" s="19">
        <f t="shared" si="1"/>
        <v>3478.7570143231933</v>
      </c>
      <c r="F5" s="22">
        <f>3470+10</f>
        <v>3480</v>
      </c>
      <c r="G5" s="21">
        <f t="shared" si="2"/>
        <v>1.2429856768067111</v>
      </c>
    </row>
    <row r="6" spans="1:7" s="8" customFormat="1" ht="15">
      <c r="A6" s="4" t="s">
        <v>95</v>
      </c>
      <c r="B6" s="20">
        <v>21.4</v>
      </c>
      <c r="C6" s="20">
        <f t="shared" si="3"/>
        <v>1.3580798411685455</v>
      </c>
      <c r="D6" s="84">
        <f t="shared" si="0"/>
        <v>22.758079841168545</v>
      </c>
      <c r="E6" s="19">
        <f t="shared" si="1"/>
        <v>1093.980897964972</v>
      </c>
      <c r="F6" s="22">
        <f>616+500</f>
        <v>1116</v>
      </c>
      <c r="G6" s="21">
        <f t="shared" si="2"/>
        <v>22.019102035028027</v>
      </c>
    </row>
    <row r="7" spans="1:8" s="8" customFormat="1" ht="15">
      <c r="A7" s="4" t="s">
        <v>61</v>
      </c>
      <c r="B7" s="34">
        <f>13.9-3</f>
        <v>10.9</v>
      </c>
      <c r="C7" s="20">
        <f t="shared" si="3"/>
        <v>0.6917322555484648</v>
      </c>
      <c r="D7" s="84">
        <f t="shared" si="0"/>
        <v>11.591732255548465</v>
      </c>
      <c r="E7" s="19">
        <f t="shared" si="1"/>
        <v>557.2145695242147</v>
      </c>
      <c r="F7" s="22">
        <v>555</v>
      </c>
      <c r="G7" s="21">
        <f t="shared" si="2"/>
        <v>-2.214569524214653</v>
      </c>
      <c r="H7" s="45" t="s">
        <v>399</v>
      </c>
    </row>
    <row r="8" spans="1:8" s="8" customFormat="1" ht="15">
      <c r="A8" s="4" t="s">
        <v>173</v>
      </c>
      <c r="B8" s="20">
        <v>10.5</v>
      </c>
      <c r="C8" s="20">
        <f t="shared" si="3"/>
        <v>0.6663475856200808</v>
      </c>
      <c r="D8" s="84">
        <f t="shared" si="0"/>
        <v>11.16634758562008</v>
      </c>
      <c r="E8" s="19">
        <f t="shared" si="1"/>
        <v>536.7663284407573</v>
      </c>
      <c r="F8" s="22">
        <v>534</v>
      </c>
      <c r="G8" s="21">
        <f t="shared" si="2"/>
        <v>-2.76632844075732</v>
      </c>
      <c r="H8" s="45"/>
    </row>
    <row r="9" spans="1:8" s="8" customFormat="1" ht="15">
      <c r="A9" s="4" t="s">
        <v>118</v>
      </c>
      <c r="B9" s="20">
        <v>40.7</v>
      </c>
      <c r="C9" s="20">
        <f t="shared" si="3"/>
        <v>2.582890165213075</v>
      </c>
      <c r="D9" s="84">
        <f t="shared" si="0"/>
        <v>43.282890165213075</v>
      </c>
      <c r="E9" s="19">
        <f t="shared" si="1"/>
        <v>2080.6085302417923</v>
      </c>
      <c r="F9" s="22">
        <f>2070+11</f>
        <v>2081</v>
      </c>
      <c r="G9" s="21">
        <f t="shared" si="2"/>
        <v>0.39146975820767693</v>
      </c>
      <c r="H9" s="45"/>
    </row>
    <row r="10" spans="1:8" s="8" customFormat="1" ht="15">
      <c r="A10" s="4" t="s">
        <v>168</v>
      </c>
      <c r="B10" s="20">
        <v>60.3</v>
      </c>
      <c r="C10" s="20">
        <f t="shared" si="3"/>
        <v>3.826738991703892</v>
      </c>
      <c r="D10" s="84">
        <f t="shared" si="0"/>
        <v>64.12673899170389</v>
      </c>
      <c r="E10" s="19">
        <f t="shared" si="1"/>
        <v>3082.572343331206</v>
      </c>
      <c r="F10" s="22">
        <f>2700+366+8</f>
        <v>3074</v>
      </c>
      <c r="G10" s="21">
        <f t="shared" si="2"/>
        <v>-8.572343331205957</v>
      </c>
      <c r="H10" s="45"/>
    </row>
    <row r="11" spans="1:8" s="8" customFormat="1" ht="15">
      <c r="A11" s="7" t="s">
        <v>178</v>
      </c>
      <c r="B11" s="20">
        <v>10.5</v>
      </c>
      <c r="C11" s="20">
        <f t="shared" si="3"/>
        <v>0.6663475856200808</v>
      </c>
      <c r="D11" s="84">
        <f t="shared" si="0"/>
        <v>11.16634758562008</v>
      </c>
      <c r="E11" s="19">
        <f t="shared" si="1"/>
        <v>536.7663284407573</v>
      </c>
      <c r="F11" s="22">
        <f>534+3</f>
        <v>537</v>
      </c>
      <c r="G11" s="21">
        <f t="shared" si="2"/>
        <v>0.2336715592426799</v>
      </c>
      <c r="H11" s="45"/>
    </row>
    <row r="12" spans="1:7" s="8" customFormat="1" ht="15">
      <c r="A12" s="7" t="s">
        <v>330</v>
      </c>
      <c r="B12" s="20">
        <v>13.52</v>
      </c>
      <c r="C12" s="20">
        <f t="shared" si="3"/>
        <v>0.8580018435793801</v>
      </c>
      <c r="D12" s="84">
        <f>B12+C12</f>
        <v>14.37800184357938</v>
      </c>
      <c r="E12" s="19">
        <f>D12*$E$1</f>
        <v>691.1505486208608</v>
      </c>
      <c r="F12" s="22">
        <v>688</v>
      </c>
      <c r="G12" s="21">
        <f>F12-E12</f>
        <v>-3.1505486208608318</v>
      </c>
    </row>
    <row r="13" spans="1:7" s="8" customFormat="1" ht="15">
      <c r="A13" s="7" t="s">
        <v>224</v>
      </c>
      <c r="B13" s="20">
        <f>34.05+3</f>
        <v>37.05</v>
      </c>
      <c r="C13" s="20">
        <f t="shared" si="3"/>
        <v>2.3512550521165703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282.06</v>
      </c>
      <c r="C14" s="86">
        <v>17.9</v>
      </c>
      <c r="D14" s="91"/>
      <c r="E14" s="28"/>
      <c r="F14" s="28"/>
      <c r="G14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8" customFormat="1" ht="21.75" customHeight="1">
      <c r="A1" s="9" t="s">
        <v>205</v>
      </c>
      <c r="B1" s="10">
        <v>41863</v>
      </c>
      <c r="C1" s="10"/>
      <c r="D1" s="11" t="s">
        <v>206</v>
      </c>
      <c r="E1" s="12">
        <v>49.24</v>
      </c>
      <c r="G1" s="8" t="s">
        <v>207</v>
      </c>
    </row>
    <row r="2" spans="1:2" s="8" customFormat="1" ht="23.25" customHeight="1">
      <c r="A2" s="33" t="s">
        <v>400</v>
      </c>
      <c r="B2" s="87"/>
    </row>
    <row r="3" spans="1:7" s="15" customFormat="1" ht="60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198</v>
      </c>
      <c r="B4" s="20">
        <v>41.8</v>
      </c>
      <c r="C4" s="20">
        <f aca="true" t="shared" si="0" ref="C4:C12">B4/$B$13*$C$13</f>
        <v>2.7183287920072656</v>
      </c>
      <c r="D4" s="84">
        <f aca="true" t="shared" si="1" ref="D4:D11">B4+C4</f>
        <v>44.51832879200726</v>
      </c>
      <c r="E4" s="19">
        <f aca="true" t="shared" si="2" ref="E4:E11">D4*$E$1</f>
        <v>2192.0825097184374</v>
      </c>
      <c r="F4" s="22">
        <f>2140+46</f>
        <v>2186</v>
      </c>
      <c r="G4" s="21">
        <f aca="true" t="shared" si="3" ref="G4:G11">F4-E4</f>
        <v>-6.08250971843745</v>
      </c>
    </row>
    <row r="5" spans="1:7" s="8" customFormat="1" ht="15">
      <c r="A5" s="4" t="s">
        <v>97</v>
      </c>
      <c r="B5" s="20">
        <v>13</v>
      </c>
      <c r="C5" s="20">
        <f t="shared" si="0"/>
        <v>0.8454132606721161</v>
      </c>
      <c r="D5" s="84">
        <f t="shared" si="1"/>
        <v>13.845413260672116</v>
      </c>
      <c r="E5" s="19">
        <f t="shared" si="2"/>
        <v>681.748148955495</v>
      </c>
      <c r="F5" s="22">
        <f>639+43</f>
        <v>682</v>
      </c>
      <c r="G5" s="21">
        <f t="shared" si="3"/>
        <v>0.2518510445049742</v>
      </c>
    </row>
    <row r="6" spans="1:7" s="8" customFormat="1" ht="15">
      <c r="A6" s="4" t="s">
        <v>61</v>
      </c>
      <c r="B6" s="20">
        <v>13.9</v>
      </c>
      <c r="C6" s="20">
        <f t="shared" si="0"/>
        <v>0.9039418710263397</v>
      </c>
      <c r="D6" s="84">
        <f t="shared" si="1"/>
        <v>14.80394187102634</v>
      </c>
      <c r="E6" s="19">
        <f t="shared" si="2"/>
        <v>728.946097729337</v>
      </c>
      <c r="F6" s="22">
        <f>712+17</f>
        <v>729</v>
      </c>
      <c r="G6" s="21">
        <f t="shared" si="3"/>
        <v>0.05390227066300213</v>
      </c>
    </row>
    <row r="7" spans="1:8" s="8" customFormat="1" ht="15">
      <c r="A7" s="4" t="s">
        <v>38</v>
      </c>
      <c r="B7" s="20">
        <v>9.95</v>
      </c>
      <c r="C7" s="20">
        <f t="shared" si="0"/>
        <v>0.6470663033605812</v>
      </c>
      <c r="D7" s="84">
        <f t="shared" si="1"/>
        <v>10.597066303360581</v>
      </c>
      <c r="E7" s="19">
        <f t="shared" si="2"/>
        <v>521.799544777475</v>
      </c>
      <c r="F7" s="22">
        <v>509</v>
      </c>
      <c r="G7" s="21">
        <f t="shared" si="3"/>
        <v>-12.799544777475035</v>
      </c>
      <c r="H7" s="45"/>
    </row>
    <row r="8" spans="1:8" s="8" customFormat="1" ht="15">
      <c r="A8" s="4" t="s">
        <v>115</v>
      </c>
      <c r="B8" s="20">
        <v>26.7</v>
      </c>
      <c r="C8" s="20">
        <f t="shared" si="0"/>
        <v>1.7363487738419618</v>
      </c>
      <c r="D8" s="84">
        <f t="shared" si="1"/>
        <v>28.43634877384196</v>
      </c>
      <c r="E8" s="19">
        <f t="shared" si="2"/>
        <v>1400.2058136239782</v>
      </c>
      <c r="F8" s="22">
        <f>1367+33</f>
        <v>1400</v>
      </c>
      <c r="G8" s="21">
        <f t="shared" si="3"/>
        <v>-0.20581362397820158</v>
      </c>
      <c r="H8" s="45"/>
    </row>
    <row r="9" spans="1:8" s="8" customFormat="1" ht="15">
      <c r="A9" s="4" t="s">
        <v>36</v>
      </c>
      <c r="B9" s="20">
        <v>23</v>
      </c>
      <c r="C9" s="20">
        <f t="shared" si="0"/>
        <v>1.495731153496821</v>
      </c>
      <c r="D9" s="84">
        <f t="shared" si="1"/>
        <v>24.49573115349682</v>
      </c>
      <c r="E9" s="19">
        <f t="shared" si="2"/>
        <v>1206.1698019981834</v>
      </c>
      <c r="F9" s="22">
        <f>1178+31</f>
        <v>1209</v>
      </c>
      <c r="G9" s="21">
        <f t="shared" si="3"/>
        <v>2.8301980018165978</v>
      </c>
      <c r="H9" s="45"/>
    </row>
    <row r="10" spans="1:8" s="8" customFormat="1" ht="15">
      <c r="A10" s="4" t="s">
        <v>95</v>
      </c>
      <c r="B10" s="20">
        <v>15.5</v>
      </c>
      <c r="C10" s="20">
        <f t="shared" si="0"/>
        <v>1.0079927338782924</v>
      </c>
      <c r="D10" s="84">
        <f t="shared" si="1"/>
        <v>16.507992733878293</v>
      </c>
      <c r="E10" s="19">
        <f t="shared" si="2"/>
        <v>812.8535622161672</v>
      </c>
      <c r="F10" s="22">
        <f>92+800</f>
        <v>892</v>
      </c>
      <c r="G10" s="21">
        <f t="shared" si="3"/>
        <v>79.14643778383277</v>
      </c>
      <c r="H10" s="45"/>
    </row>
    <row r="11" spans="1:8" s="8" customFormat="1" ht="15">
      <c r="A11" s="7" t="s">
        <v>124</v>
      </c>
      <c r="B11" s="20">
        <v>13.9</v>
      </c>
      <c r="C11" s="20">
        <f t="shared" si="0"/>
        <v>0.9039418710263397</v>
      </c>
      <c r="D11" s="84">
        <f t="shared" si="1"/>
        <v>14.80394187102634</v>
      </c>
      <c r="E11" s="19">
        <f t="shared" si="2"/>
        <v>728.946097729337</v>
      </c>
      <c r="F11" s="22">
        <f>712+17+17</f>
        <v>746</v>
      </c>
      <c r="G11" s="21">
        <f t="shared" si="3"/>
        <v>17.053902270663002</v>
      </c>
      <c r="H11" s="45"/>
    </row>
    <row r="12" spans="1:7" s="8" customFormat="1" ht="15">
      <c r="A12" s="7" t="s">
        <v>224</v>
      </c>
      <c r="B12" s="20">
        <v>117.5</v>
      </c>
      <c r="C12" s="20">
        <f t="shared" si="0"/>
        <v>7.64123524069028</v>
      </c>
      <c r="D12" s="85"/>
      <c r="E12" s="28"/>
      <c r="F12" s="28"/>
      <c r="G12" s="28"/>
    </row>
    <row r="13" spans="1:7" s="8" customFormat="1" ht="15">
      <c r="A13" s="25"/>
      <c r="B13" s="86">
        <f>SUM(B4:B12)</f>
        <v>275.25</v>
      </c>
      <c r="C13" s="86">
        <v>17.9</v>
      </c>
      <c r="D13" s="91"/>
      <c r="E13" s="28"/>
      <c r="F13" s="28"/>
      <c r="G13" s="28"/>
    </row>
    <row r="15" ht="31.5">
      <c r="A15" s="50" t="s">
        <v>401</v>
      </c>
    </row>
    <row r="16" ht="31.5">
      <c r="A16" s="50" t="s">
        <v>315</v>
      </c>
    </row>
    <row r="17" ht="33.75" customHeight="1">
      <c r="A17" s="89" t="s">
        <v>308</v>
      </c>
    </row>
    <row r="18" ht="31.5">
      <c r="A18" s="51" t="s">
        <v>198</v>
      </c>
    </row>
    <row r="19" ht="15">
      <c r="A19" s="58" t="s">
        <v>402</v>
      </c>
    </row>
    <row r="20" ht="31.5">
      <c r="A20" s="51" t="s">
        <v>124</v>
      </c>
    </row>
    <row r="21" ht="15">
      <c r="A21" s="58" t="s">
        <v>403</v>
      </c>
    </row>
    <row r="22" ht="15">
      <c r="A22" s="58" t="s">
        <v>404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8" customFormat="1" ht="21.75" customHeight="1">
      <c r="A1" s="9" t="s">
        <v>205</v>
      </c>
      <c r="B1" s="10">
        <v>41891</v>
      </c>
      <c r="C1" s="10"/>
      <c r="D1" s="11" t="s">
        <v>206</v>
      </c>
      <c r="E1" s="12">
        <v>48.99</v>
      </c>
      <c r="G1" s="8" t="s">
        <v>207</v>
      </c>
    </row>
    <row r="2" spans="1:2" s="8" customFormat="1" ht="23.25" customHeight="1">
      <c r="A2" s="33" t="s">
        <v>405</v>
      </c>
      <c r="B2" s="87"/>
    </row>
    <row r="3" spans="1:7" s="15" customFormat="1" ht="75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173</v>
      </c>
      <c r="B4" s="20">
        <v>14.9</v>
      </c>
      <c r="C4" s="20">
        <f aca="true" t="shared" si="0" ref="C4:C20">B4/$B$21*$C$21</f>
        <v>0.6789105256459207</v>
      </c>
      <c r="D4" s="84">
        <f aca="true" t="shared" si="1" ref="D4:D19">B4+C4</f>
        <v>15.57891052564592</v>
      </c>
      <c r="E4" s="19">
        <f aca="true" t="shared" si="2" ref="E4:E19">D4*$E$1</f>
        <v>763.2108266513936</v>
      </c>
      <c r="F4" s="22">
        <v>763</v>
      </c>
      <c r="G4" s="21">
        <f aca="true" t="shared" si="3" ref="G4:G19">F4-E4</f>
        <v>-0.21082665139363144</v>
      </c>
    </row>
    <row r="5" spans="1:7" s="8" customFormat="1" ht="15">
      <c r="A5" s="4" t="s">
        <v>406</v>
      </c>
      <c r="B5" s="20">
        <v>45.3</v>
      </c>
      <c r="C5" s="20">
        <f t="shared" si="0"/>
        <v>2.0640702558228323</v>
      </c>
      <c r="D5" s="84">
        <f t="shared" si="1"/>
        <v>47.36407025582283</v>
      </c>
      <c r="E5" s="19">
        <f t="shared" si="2"/>
        <v>2320.3658018327606</v>
      </c>
      <c r="F5" s="22">
        <v>2329</v>
      </c>
      <c r="G5" s="21">
        <f t="shared" si="3"/>
        <v>8.634198167239447</v>
      </c>
    </row>
    <row r="6" spans="1:7" s="8" customFormat="1" ht="15">
      <c r="A6" s="4" t="s">
        <v>91</v>
      </c>
      <c r="B6" s="20">
        <v>35.7</v>
      </c>
      <c r="C6" s="20">
        <f t="shared" si="0"/>
        <v>1.6266513936617026</v>
      </c>
      <c r="D6" s="84">
        <f t="shared" si="1"/>
        <v>37.326651393661706</v>
      </c>
      <c r="E6" s="19">
        <f t="shared" si="2"/>
        <v>1828.6326517754871</v>
      </c>
      <c r="F6" s="22">
        <v>1837</v>
      </c>
      <c r="G6" s="21">
        <f t="shared" si="3"/>
        <v>8.367348224512853</v>
      </c>
    </row>
    <row r="7" spans="1:8" s="8" customFormat="1" ht="15">
      <c r="A7" s="4" t="s">
        <v>190</v>
      </c>
      <c r="B7" s="20">
        <v>14.85</v>
      </c>
      <c r="C7" s="20">
        <f t="shared" si="0"/>
        <v>0.6766323024054981</v>
      </c>
      <c r="D7" s="84">
        <f t="shared" si="1"/>
        <v>15.526632302405497</v>
      </c>
      <c r="E7" s="19">
        <f t="shared" si="2"/>
        <v>760.6497164948454</v>
      </c>
      <c r="F7" s="22">
        <v>757</v>
      </c>
      <c r="G7" s="21">
        <f t="shared" si="3"/>
        <v>-3.649716494845393</v>
      </c>
      <c r="H7" s="45"/>
    </row>
    <row r="8" spans="1:8" s="8" customFormat="1" ht="15">
      <c r="A8" s="4" t="s">
        <v>407</v>
      </c>
      <c r="B8" s="20">
        <v>10.9</v>
      </c>
      <c r="C8" s="20">
        <f t="shared" si="0"/>
        <v>0.4966526664121164</v>
      </c>
      <c r="D8" s="84">
        <f t="shared" si="1"/>
        <v>11.396652666412116</v>
      </c>
      <c r="E8" s="19">
        <f t="shared" si="2"/>
        <v>558.3220141275295</v>
      </c>
      <c r="F8" s="98">
        <f>520+38</f>
        <v>558</v>
      </c>
      <c r="G8" s="21">
        <f t="shared" si="3"/>
        <v>-0.32201412752954184</v>
      </c>
      <c r="H8" s="45"/>
    </row>
    <row r="9" spans="1:8" s="8" customFormat="1" ht="15">
      <c r="A9" s="4" t="s">
        <v>95</v>
      </c>
      <c r="B9" s="20">
        <v>8.9</v>
      </c>
      <c r="C9" s="20">
        <f t="shared" si="0"/>
        <v>0.40552373679521436</v>
      </c>
      <c r="D9" s="84">
        <f t="shared" si="1"/>
        <v>9.305523736795214</v>
      </c>
      <c r="E9" s="19">
        <f t="shared" si="2"/>
        <v>455.87760786559755</v>
      </c>
      <c r="F9" s="98">
        <v>348</v>
      </c>
      <c r="G9" s="21">
        <f t="shared" si="3"/>
        <v>-107.87760786559755</v>
      </c>
      <c r="H9" s="45"/>
    </row>
    <row r="10" spans="1:8" s="8" customFormat="1" ht="15">
      <c r="A10" s="4" t="s">
        <v>145</v>
      </c>
      <c r="B10" s="20">
        <v>9.9</v>
      </c>
      <c r="C10" s="20">
        <f t="shared" si="0"/>
        <v>0.4510882016036654</v>
      </c>
      <c r="D10" s="84">
        <f t="shared" si="1"/>
        <v>10.351088201603666</v>
      </c>
      <c r="E10" s="19">
        <f t="shared" si="2"/>
        <v>507.09981099656363</v>
      </c>
      <c r="F10" s="22">
        <f>502+5</f>
        <v>507</v>
      </c>
      <c r="G10" s="21">
        <f t="shared" si="3"/>
        <v>-0.09981099656363313</v>
      </c>
      <c r="H10" s="45"/>
    </row>
    <row r="11" spans="1:7" s="8" customFormat="1" ht="15">
      <c r="A11" s="4" t="s">
        <v>408</v>
      </c>
      <c r="B11" s="20">
        <v>13.85</v>
      </c>
      <c r="C11" s="20">
        <f t="shared" si="0"/>
        <v>0.6310678375970471</v>
      </c>
      <c r="D11" s="84">
        <f t="shared" si="1"/>
        <v>14.481067837597047</v>
      </c>
      <c r="E11" s="19">
        <f t="shared" si="2"/>
        <v>709.4275133638794</v>
      </c>
      <c r="F11" s="22">
        <v>712</v>
      </c>
      <c r="G11" s="21">
        <f t="shared" si="3"/>
        <v>2.5724866361206296</v>
      </c>
    </row>
    <row r="12" spans="1:7" s="8" customFormat="1" ht="15">
      <c r="A12" s="4" t="s">
        <v>55</v>
      </c>
      <c r="B12" s="20">
        <v>1.9</v>
      </c>
      <c r="C12" s="20">
        <f t="shared" si="0"/>
        <v>0.08657248313605699</v>
      </c>
      <c r="D12" s="84">
        <f t="shared" si="1"/>
        <v>1.986572483136057</v>
      </c>
      <c r="E12" s="19">
        <f t="shared" si="2"/>
        <v>97.32218594883544</v>
      </c>
      <c r="F12" s="22">
        <v>98</v>
      </c>
      <c r="G12" s="21">
        <f t="shared" si="3"/>
        <v>0.6778140511645603</v>
      </c>
    </row>
    <row r="13" spans="1:7" s="8" customFormat="1" ht="15">
      <c r="A13" s="4" t="s">
        <v>201</v>
      </c>
      <c r="B13" s="20">
        <v>28.9</v>
      </c>
      <c r="C13" s="20">
        <f t="shared" si="0"/>
        <v>1.3168130329642354</v>
      </c>
      <c r="D13" s="84">
        <f t="shared" si="1"/>
        <v>30.216813032964232</v>
      </c>
      <c r="E13" s="19">
        <f t="shared" si="2"/>
        <v>1480.3216704849178</v>
      </c>
      <c r="F13" s="22">
        <v>1486</v>
      </c>
      <c r="G13" s="21">
        <f t="shared" si="3"/>
        <v>5.678329515082169</v>
      </c>
    </row>
    <row r="14" spans="1:8" s="8" customFormat="1" ht="15">
      <c r="A14" s="4" t="s">
        <v>127</v>
      </c>
      <c r="B14" s="20">
        <v>9.2</v>
      </c>
      <c r="C14" s="20">
        <f t="shared" si="0"/>
        <v>0.41919307623774965</v>
      </c>
      <c r="D14" s="84">
        <f t="shared" si="1"/>
        <v>9.61919307623775</v>
      </c>
      <c r="E14" s="19">
        <f t="shared" si="2"/>
        <v>471.2442688048874</v>
      </c>
      <c r="F14" s="22">
        <v>473</v>
      </c>
      <c r="G14" s="21">
        <f t="shared" si="3"/>
        <v>1.7557311951126167</v>
      </c>
      <c r="H14" s="45"/>
    </row>
    <row r="15" spans="1:8" s="8" customFormat="1" ht="15">
      <c r="A15" s="4" t="s">
        <v>140</v>
      </c>
      <c r="B15" s="20">
        <v>24.4</v>
      </c>
      <c r="C15" s="20">
        <f t="shared" si="0"/>
        <v>1.1117729413262056</v>
      </c>
      <c r="D15" s="84">
        <f t="shared" si="1"/>
        <v>25.511772941326203</v>
      </c>
      <c r="E15" s="19">
        <f t="shared" si="2"/>
        <v>1249.8217563955707</v>
      </c>
      <c r="F15" s="22">
        <v>1255</v>
      </c>
      <c r="G15" s="21">
        <f t="shared" si="3"/>
        <v>5.178243604429326</v>
      </c>
      <c r="H15" s="45"/>
    </row>
    <row r="16" spans="1:8" s="8" customFormat="1" ht="15">
      <c r="A16" s="4" t="s">
        <v>96</v>
      </c>
      <c r="B16" s="20">
        <v>19.5</v>
      </c>
      <c r="C16" s="20">
        <f t="shared" si="0"/>
        <v>0.8885070637647955</v>
      </c>
      <c r="D16" s="84">
        <f t="shared" si="1"/>
        <v>20.388507063764795</v>
      </c>
      <c r="E16" s="19">
        <f t="shared" si="2"/>
        <v>998.8329610538374</v>
      </c>
      <c r="F16" s="22">
        <v>1003</v>
      </c>
      <c r="G16" s="21">
        <f t="shared" si="3"/>
        <v>4.16703894616262</v>
      </c>
      <c r="H16" s="45"/>
    </row>
    <row r="17" spans="1:8" s="8" customFormat="1" ht="15">
      <c r="A17" s="4" t="s">
        <v>409</v>
      </c>
      <c r="B17" s="20">
        <v>40.25</v>
      </c>
      <c r="C17" s="20">
        <f t="shared" si="0"/>
        <v>1.8339697085401547</v>
      </c>
      <c r="D17" s="84">
        <f t="shared" si="1"/>
        <v>42.08396970854015</v>
      </c>
      <c r="E17" s="19">
        <f t="shared" si="2"/>
        <v>2061.693676021382</v>
      </c>
      <c r="F17" s="22">
        <v>2070</v>
      </c>
      <c r="G17" s="21">
        <f t="shared" si="3"/>
        <v>8.306323978617911</v>
      </c>
      <c r="H17" s="45"/>
    </row>
    <row r="18" spans="1:8" s="8" customFormat="1" ht="15">
      <c r="A18" s="7" t="s">
        <v>61</v>
      </c>
      <c r="B18" s="20">
        <v>38.3</v>
      </c>
      <c r="C18" s="20">
        <f t="shared" si="0"/>
        <v>1.745119002163675</v>
      </c>
      <c r="D18" s="84">
        <f t="shared" si="1"/>
        <v>40.04511900216367</v>
      </c>
      <c r="E18" s="19">
        <f t="shared" si="2"/>
        <v>1961.8103799159985</v>
      </c>
      <c r="F18" s="22">
        <v>1969</v>
      </c>
      <c r="G18" s="21">
        <f t="shared" si="3"/>
        <v>7.18962008400149</v>
      </c>
      <c r="H18" s="45"/>
    </row>
    <row r="19" spans="1:8" s="8" customFormat="1" ht="15">
      <c r="A19" s="7" t="s">
        <v>354</v>
      </c>
      <c r="B19" s="20">
        <v>25.8</v>
      </c>
      <c r="C19" s="20">
        <f t="shared" si="0"/>
        <v>1.1755631920580372</v>
      </c>
      <c r="D19" s="84">
        <f t="shared" si="1"/>
        <v>26.975563192058036</v>
      </c>
      <c r="E19" s="19">
        <f t="shared" si="2"/>
        <v>1321.5328407789232</v>
      </c>
      <c r="F19" s="22">
        <v>1327</v>
      </c>
      <c r="G19" s="21">
        <f t="shared" si="3"/>
        <v>5.467159221076827</v>
      </c>
      <c r="H19" s="45"/>
    </row>
    <row r="20" spans="1:7" s="8" customFormat="1" ht="15">
      <c r="A20" s="97" t="s">
        <v>224</v>
      </c>
      <c r="B20" s="20">
        <v>50.3</v>
      </c>
      <c r="C20" s="20">
        <f t="shared" si="0"/>
        <v>2.2918925798650878</v>
      </c>
      <c r="D20" s="85"/>
      <c r="E20" s="28"/>
      <c r="F20" s="28"/>
      <c r="G20" s="28"/>
    </row>
    <row r="21" spans="1:7" s="8" customFormat="1" ht="15">
      <c r="A21" s="25"/>
      <c r="B21" s="86">
        <f>SUM(B4:B20)</f>
        <v>392.8500000000001</v>
      </c>
      <c r="C21" s="86">
        <v>17.9</v>
      </c>
      <c r="D21" s="91"/>
      <c r="E21" s="28"/>
      <c r="F21" s="28"/>
      <c r="G21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8" customFormat="1" ht="21.75" customHeight="1">
      <c r="A1" s="9" t="s">
        <v>205</v>
      </c>
      <c r="B1" s="10">
        <v>41902</v>
      </c>
      <c r="C1" s="10"/>
      <c r="D1" s="11" t="s">
        <v>206</v>
      </c>
      <c r="E1" s="12">
        <v>50.52</v>
      </c>
      <c r="G1" s="8" t="s">
        <v>207</v>
      </c>
    </row>
    <row r="2" spans="1:2" s="8" customFormat="1" ht="23.25" customHeight="1">
      <c r="A2" s="33" t="s">
        <v>412</v>
      </c>
      <c r="B2" s="87"/>
    </row>
    <row r="3" spans="1:7" s="15" customFormat="1" ht="75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8</v>
      </c>
      <c r="B4" s="20">
        <v>35</v>
      </c>
      <c r="C4" s="20">
        <f aca="true" t="shared" si="0" ref="C4:C16">B4/$B$17*$C$17</f>
        <v>2.0016613949327455</v>
      </c>
      <c r="D4" s="84">
        <f aca="true" t="shared" si="1" ref="D4:D15">B4+C4</f>
        <v>37.001661394932746</v>
      </c>
      <c r="E4" s="19">
        <f aca="true" t="shared" si="2" ref="E4:E15">D4*$E$1</f>
        <v>1869.3239336720026</v>
      </c>
      <c r="F4" s="22">
        <v>1870</v>
      </c>
      <c r="G4" s="21">
        <f aca="true" t="shared" si="3" ref="G4:G15">F4-E4</f>
        <v>0.6760663279974324</v>
      </c>
    </row>
    <row r="5" spans="1:7" s="8" customFormat="1" ht="15">
      <c r="A5" s="4" t="s">
        <v>37</v>
      </c>
      <c r="B5" s="20">
        <v>12.9</v>
      </c>
      <c r="C5" s="20">
        <f t="shared" si="0"/>
        <v>0.7377551998466404</v>
      </c>
      <c r="D5" s="84">
        <f t="shared" si="1"/>
        <v>13.63775519984664</v>
      </c>
      <c r="E5" s="19">
        <f t="shared" si="2"/>
        <v>688.9793926962524</v>
      </c>
      <c r="F5" s="22">
        <v>689</v>
      </c>
      <c r="G5" s="21">
        <f t="shared" si="3"/>
        <v>0.020607303747624428</v>
      </c>
    </row>
    <row r="6" spans="1:7" s="8" customFormat="1" ht="15">
      <c r="A6" s="4" t="s">
        <v>118</v>
      </c>
      <c r="B6" s="20">
        <v>11.9</v>
      </c>
      <c r="C6" s="20">
        <f t="shared" si="0"/>
        <v>0.6805648742771333</v>
      </c>
      <c r="D6" s="84">
        <f t="shared" si="1"/>
        <v>12.580564874277133</v>
      </c>
      <c r="E6" s="19">
        <f t="shared" si="2"/>
        <v>635.5701374484809</v>
      </c>
      <c r="F6" s="22">
        <v>636</v>
      </c>
      <c r="G6" s="21">
        <f t="shared" si="3"/>
        <v>0.4298625515191361</v>
      </c>
    </row>
    <row r="7" spans="1:8" s="8" customFormat="1" ht="15">
      <c r="A7" s="4" t="s">
        <v>413</v>
      </c>
      <c r="B7" s="20">
        <v>12.5</v>
      </c>
      <c r="C7" s="20">
        <f t="shared" si="0"/>
        <v>0.7148790696188376</v>
      </c>
      <c r="D7" s="84">
        <f t="shared" si="1"/>
        <v>13.214879069618839</v>
      </c>
      <c r="E7" s="19">
        <f t="shared" si="2"/>
        <v>667.6156905971437</v>
      </c>
      <c r="F7" s="22">
        <v>668</v>
      </c>
      <c r="G7" s="21">
        <f t="shared" si="3"/>
        <v>0.3843094028562746</v>
      </c>
      <c r="H7" s="45"/>
    </row>
    <row r="8" spans="1:8" s="8" customFormat="1" ht="15">
      <c r="A8" s="4" t="s">
        <v>414</v>
      </c>
      <c r="B8" s="20">
        <v>22.5</v>
      </c>
      <c r="C8" s="20">
        <f t="shared" si="0"/>
        <v>1.2867823253139077</v>
      </c>
      <c r="D8" s="84">
        <f t="shared" si="1"/>
        <v>23.786782325313908</v>
      </c>
      <c r="E8" s="19">
        <f t="shared" si="2"/>
        <v>1201.7082430748587</v>
      </c>
      <c r="F8" s="98">
        <v>1202</v>
      </c>
      <c r="G8" s="21">
        <f t="shared" si="3"/>
        <v>0.2917569251412715</v>
      </c>
      <c r="H8" s="45"/>
    </row>
    <row r="9" spans="1:8" s="8" customFormat="1" ht="15">
      <c r="A9" s="4" t="s">
        <v>415</v>
      </c>
      <c r="B9" s="20">
        <v>16.9</v>
      </c>
      <c r="C9" s="20">
        <f t="shared" si="0"/>
        <v>0.9665165021246684</v>
      </c>
      <c r="D9" s="84">
        <f t="shared" si="1"/>
        <v>17.866516502124668</v>
      </c>
      <c r="E9" s="19">
        <f t="shared" si="2"/>
        <v>902.6164136873383</v>
      </c>
      <c r="F9" s="98">
        <v>903</v>
      </c>
      <c r="G9" s="21">
        <f t="shared" si="3"/>
        <v>0.3835863126616914</v>
      </c>
      <c r="H9" s="45"/>
    </row>
    <row r="10" spans="1:8" s="8" customFormat="1" ht="15">
      <c r="A10" s="4" t="s">
        <v>416</v>
      </c>
      <c r="B10" s="20">
        <v>10.9</v>
      </c>
      <c r="C10" s="20">
        <f t="shared" si="0"/>
        <v>0.6233745487076264</v>
      </c>
      <c r="D10" s="84">
        <f t="shared" si="1"/>
        <v>11.523374548707627</v>
      </c>
      <c r="E10" s="19">
        <f t="shared" si="2"/>
        <v>582.1608822007094</v>
      </c>
      <c r="F10" s="22">
        <v>582</v>
      </c>
      <c r="G10" s="21">
        <f t="shared" si="3"/>
        <v>-0.16088220070935222</v>
      </c>
      <c r="H10" s="45"/>
    </row>
    <row r="11" spans="1:8" s="8" customFormat="1" ht="15">
      <c r="A11" s="4" t="s">
        <v>95</v>
      </c>
      <c r="B11" s="20">
        <v>13.5</v>
      </c>
      <c r="C11" s="20">
        <f t="shared" si="0"/>
        <v>0.7720693951883446</v>
      </c>
      <c r="D11" s="84">
        <f t="shared" si="1"/>
        <v>14.272069395188344</v>
      </c>
      <c r="E11" s="19">
        <f t="shared" si="2"/>
        <v>721.0249458449152</v>
      </c>
      <c r="F11" s="22">
        <f>800-46</f>
        <v>754</v>
      </c>
      <c r="G11" s="21">
        <f t="shared" si="3"/>
        <v>32.97505415508476</v>
      </c>
      <c r="H11" s="8" t="s">
        <v>424</v>
      </c>
    </row>
    <row r="12" spans="1:7" s="8" customFormat="1" ht="15">
      <c r="A12" s="4" t="s">
        <v>155</v>
      </c>
      <c r="B12" s="20">
        <v>16.1</v>
      </c>
      <c r="C12" s="20">
        <f t="shared" si="0"/>
        <v>0.9207642416690629</v>
      </c>
      <c r="D12" s="84">
        <f t="shared" si="1"/>
        <v>17.020764241669063</v>
      </c>
      <c r="E12" s="19">
        <f t="shared" si="2"/>
        <v>859.8890094891211</v>
      </c>
      <c r="F12" s="22">
        <v>860</v>
      </c>
      <c r="G12" s="21">
        <f t="shared" si="3"/>
        <v>0.11099051087887801</v>
      </c>
    </row>
    <row r="13" spans="1:7" s="8" customFormat="1" ht="15">
      <c r="A13" s="4" t="s">
        <v>417</v>
      </c>
      <c r="B13" s="20">
        <v>15.96</v>
      </c>
      <c r="C13" s="20">
        <f t="shared" si="0"/>
        <v>0.9127575960893319</v>
      </c>
      <c r="D13" s="84">
        <f t="shared" si="1"/>
        <v>16.872757596089333</v>
      </c>
      <c r="E13" s="19">
        <f t="shared" si="2"/>
        <v>852.4117137544331</v>
      </c>
      <c r="F13" s="98">
        <v>852</v>
      </c>
      <c r="G13" s="21">
        <f t="shared" si="3"/>
        <v>-0.41171375443309444</v>
      </c>
    </row>
    <row r="14" spans="1:8" s="8" customFormat="1" ht="15">
      <c r="A14" s="4" t="s">
        <v>109</v>
      </c>
      <c r="B14" s="20">
        <v>37.7</v>
      </c>
      <c r="C14" s="20">
        <f t="shared" si="0"/>
        <v>2.1560752739704143</v>
      </c>
      <c r="D14" s="84">
        <f t="shared" si="1"/>
        <v>39.85607527397042</v>
      </c>
      <c r="E14" s="19">
        <f t="shared" si="2"/>
        <v>2013.5289228409856</v>
      </c>
      <c r="F14" s="22">
        <v>2015</v>
      </c>
      <c r="G14" s="21">
        <f t="shared" si="3"/>
        <v>1.471077159014385</v>
      </c>
      <c r="H14" s="45"/>
    </row>
    <row r="15" spans="1:8" s="8" customFormat="1" ht="15">
      <c r="A15" s="4" t="s">
        <v>418</v>
      </c>
      <c r="B15" s="20">
        <v>46.9</v>
      </c>
      <c r="C15" s="20">
        <f t="shared" si="0"/>
        <v>2.6822262692098784</v>
      </c>
      <c r="D15" s="84">
        <f t="shared" si="1"/>
        <v>49.582226269209876</v>
      </c>
      <c r="E15" s="19">
        <f t="shared" si="2"/>
        <v>2504.894071120483</v>
      </c>
      <c r="F15" s="22">
        <v>2505</v>
      </c>
      <c r="G15" s="21">
        <f t="shared" si="3"/>
        <v>0.10592887951679586</v>
      </c>
      <c r="H15" s="45"/>
    </row>
    <row r="16" spans="1:7" s="8" customFormat="1" ht="15">
      <c r="A16" s="97" t="s">
        <v>224</v>
      </c>
      <c r="B16" s="20">
        <v>60.23</v>
      </c>
      <c r="C16" s="20">
        <f t="shared" si="0"/>
        <v>3.444573309051407</v>
      </c>
      <c r="D16" s="85"/>
      <c r="E16" s="28"/>
      <c r="F16" s="28"/>
      <c r="G16" s="28"/>
    </row>
    <row r="17" spans="1:7" s="8" customFormat="1" ht="15">
      <c r="A17" s="25"/>
      <c r="B17" s="86">
        <f>SUM(B4:B16)</f>
        <v>312.99</v>
      </c>
      <c r="C17" s="86">
        <v>17.9</v>
      </c>
      <c r="D17" s="91"/>
      <c r="E17" s="28"/>
      <c r="F17" s="28"/>
      <c r="G17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8" customFormat="1" ht="21.75" customHeight="1">
      <c r="A1" s="9" t="s">
        <v>205</v>
      </c>
      <c r="B1" s="10">
        <v>41919</v>
      </c>
      <c r="C1" s="10"/>
      <c r="D1" s="11" t="s">
        <v>206</v>
      </c>
      <c r="E1" s="12">
        <v>51.85</v>
      </c>
      <c r="G1" s="8" t="s">
        <v>207</v>
      </c>
    </row>
    <row r="2" spans="1:2" s="8" customFormat="1" ht="23.25" customHeight="1">
      <c r="A2" s="33" t="s">
        <v>419</v>
      </c>
      <c r="B2" s="87"/>
    </row>
    <row r="3" spans="1:7" s="15" customFormat="1" ht="53.25" customHeight="1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109</v>
      </c>
      <c r="B4" s="20">
        <v>4.9</v>
      </c>
      <c r="C4" s="20">
        <f aca="true" t="shared" si="0" ref="C4:C12">B4/$B$13*$C$13</f>
        <v>0.3291923134664465</v>
      </c>
      <c r="D4" s="84">
        <f aca="true" t="shared" si="1" ref="D4:D11">B4+C4</f>
        <v>5.229192313466447</v>
      </c>
      <c r="E4" s="19">
        <f aca="true" t="shared" si="2" ref="E4:E11">D4*$E$1</f>
        <v>271.13362145323526</v>
      </c>
      <c r="F4" s="22">
        <v>265</v>
      </c>
      <c r="G4" s="21">
        <f aca="true" t="shared" si="3" ref="G4:G11">F4-E4</f>
        <v>-6.133621453235264</v>
      </c>
    </row>
    <row r="5" spans="1:7" s="8" customFormat="1" ht="15">
      <c r="A5" s="4" t="s">
        <v>420</v>
      </c>
      <c r="B5" s="20">
        <v>3.5</v>
      </c>
      <c r="C5" s="20">
        <f t="shared" si="0"/>
        <v>0.23513736676174748</v>
      </c>
      <c r="D5" s="84">
        <f t="shared" si="1"/>
        <v>3.7351373667617476</v>
      </c>
      <c r="E5" s="19">
        <f t="shared" si="2"/>
        <v>193.66687246659663</v>
      </c>
      <c r="F5" s="22">
        <f>189+5</f>
        <v>194</v>
      </c>
      <c r="G5" s="21">
        <f t="shared" si="3"/>
        <v>0.33312753340337053</v>
      </c>
    </row>
    <row r="6" spans="1:7" s="8" customFormat="1" ht="15">
      <c r="A6" s="4" t="s">
        <v>421</v>
      </c>
      <c r="B6" s="20">
        <v>13.95</v>
      </c>
      <c r="C6" s="20">
        <f t="shared" si="0"/>
        <v>0.9371903618075363</v>
      </c>
      <c r="D6" s="84">
        <f t="shared" si="1"/>
        <v>14.887190361807535</v>
      </c>
      <c r="E6" s="19">
        <f t="shared" si="2"/>
        <v>771.9008202597207</v>
      </c>
      <c r="F6" s="22">
        <f>749+23</f>
        <v>772</v>
      </c>
      <c r="G6" s="21">
        <f t="shared" si="3"/>
        <v>0.09917974027928267</v>
      </c>
    </row>
    <row r="7" spans="1:8" s="8" customFormat="1" ht="15">
      <c r="A7" s="4" t="s">
        <v>63</v>
      </c>
      <c r="B7" s="20">
        <v>33.7</v>
      </c>
      <c r="C7" s="20">
        <f t="shared" si="0"/>
        <v>2.264036931391683</v>
      </c>
      <c r="D7" s="84">
        <f t="shared" si="1"/>
        <v>35.96403693139169</v>
      </c>
      <c r="E7" s="19">
        <f t="shared" si="2"/>
        <v>1864.735314892659</v>
      </c>
      <c r="F7" s="22">
        <f>1824+38</f>
        <v>1862</v>
      </c>
      <c r="G7" s="21">
        <f t="shared" si="3"/>
        <v>-2.735314892659062</v>
      </c>
      <c r="H7" s="45"/>
    </row>
    <row r="8" spans="1:8" s="8" customFormat="1" ht="15">
      <c r="A8" s="4" t="s">
        <v>422</v>
      </c>
      <c r="B8" s="20">
        <v>11.5</v>
      </c>
      <c r="C8" s="20">
        <f t="shared" si="0"/>
        <v>0.7725942050743132</v>
      </c>
      <c r="D8" s="84">
        <f t="shared" si="1"/>
        <v>12.272594205074313</v>
      </c>
      <c r="E8" s="19">
        <f t="shared" si="2"/>
        <v>636.3340095331031</v>
      </c>
      <c r="F8" s="98">
        <f>622+14</f>
        <v>636</v>
      </c>
      <c r="G8" s="21">
        <f t="shared" si="3"/>
        <v>-0.33400953310308523</v>
      </c>
      <c r="H8" s="45"/>
    </row>
    <row r="9" spans="1:8" s="8" customFormat="1" ht="15">
      <c r="A9" s="4" t="s">
        <v>423</v>
      </c>
      <c r="B9" s="20">
        <v>6.9</v>
      </c>
      <c r="C9" s="20">
        <f t="shared" si="0"/>
        <v>0.4635565230445879</v>
      </c>
      <c r="D9" s="84">
        <f t="shared" si="1"/>
        <v>7.363556523044588</v>
      </c>
      <c r="E9" s="19">
        <f t="shared" si="2"/>
        <v>381.8004057198619</v>
      </c>
      <c r="F9" s="98">
        <f>373+9</f>
        <v>382</v>
      </c>
      <c r="G9" s="21">
        <f t="shared" si="3"/>
        <v>0.19959428013811475</v>
      </c>
      <c r="H9" s="45"/>
    </row>
    <row r="10" spans="1:8" s="8" customFormat="1" ht="15">
      <c r="A10" s="4" t="s">
        <v>418</v>
      </c>
      <c r="B10" s="20">
        <v>40.5</v>
      </c>
      <c r="C10" s="20">
        <f t="shared" si="0"/>
        <v>2.7208752439573636</v>
      </c>
      <c r="D10" s="84">
        <f t="shared" si="1"/>
        <v>43.220875243957366</v>
      </c>
      <c r="E10" s="19">
        <f t="shared" si="2"/>
        <v>2241.0023813991893</v>
      </c>
      <c r="F10" s="22">
        <f>2191+50</f>
        <v>2241</v>
      </c>
      <c r="G10" s="21">
        <f t="shared" si="3"/>
        <v>-0.0023813991892893682</v>
      </c>
      <c r="H10" s="45"/>
    </row>
    <row r="11" spans="1:7" s="8" customFormat="1" ht="15">
      <c r="A11" s="4" t="s">
        <v>7</v>
      </c>
      <c r="B11" s="20">
        <v>49.44</v>
      </c>
      <c r="C11" s="20">
        <f t="shared" si="0"/>
        <v>3.321483260771655</v>
      </c>
      <c r="D11" s="84">
        <f t="shared" si="1"/>
        <v>52.761483260771655</v>
      </c>
      <c r="E11" s="19">
        <f t="shared" si="2"/>
        <v>2735.6829070710105</v>
      </c>
      <c r="F11" s="22">
        <f>2660+61</f>
        <v>2721</v>
      </c>
      <c r="G11" s="21">
        <f t="shared" si="3"/>
        <v>-14.682907071010504</v>
      </c>
    </row>
    <row r="12" spans="1:7" s="8" customFormat="1" ht="15">
      <c r="A12" s="97" t="s">
        <v>224</v>
      </c>
      <c r="B12" s="20">
        <v>102.05</v>
      </c>
      <c r="C12" s="20">
        <f t="shared" si="0"/>
        <v>6.855933793724665</v>
      </c>
      <c r="D12" s="85"/>
      <c r="E12" s="28"/>
      <c r="F12" s="28"/>
      <c r="G12" s="28"/>
    </row>
    <row r="13" spans="1:7" s="8" customFormat="1" ht="15">
      <c r="A13" s="25"/>
      <c r="B13" s="86">
        <f>SUM(B4:B12)</f>
        <v>266.44</v>
      </c>
      <c r="C13" s="86">
        <v>17.9</v>
      </c>
      <c r="D13" s="91"/>
      <c r="E13" s="28"/>
      <c r="F13" s="28"/>
      <c r="G13" s="28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8" customFormat="1" ht="21.75" customHeight="1">
      <c r="A1" s="9" t="s">
        <v>205</v>
      </c>
      <c r="B1" s="10">
        <v>41932</v>
      </c>
      <c r="C1" s="10"/>
      <c r="D1" s="11" t="s">
        <v>206</v>
      </c>
      <c r="E1" s="12">
        <v>53.52</v>
      </c>
      <c r="G1" s="8" t="s">
        <v>207</v>
      </c>
    </row>
    <row r="2" spans="1:2" s="8" customFormat="1" ht="23.25" customHeight="1">
      <c r="A2" s="33" t="s">
        <v>425</v>
      </c>
      <c r="B2" s="87"/>
    </row>
    <row r="3" spans="1:7" s="15" customFormat="1" ht="53.25" customHeight="1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430</v>
      </c>
      <c r="B4" s="20">
        <v>26.96</v>
      </c>
      <c r="C4" s="20">
        <f aca="true" t="shared" si="0" ref="C4:C18">B4/$B$19*$C$19</f>
        <v>1.6630505203666688</v>
      </c>
      <c r="D4" s="84">
        <f aca="true" t="shared" si="1" ref="D4:D17">B4+C4</f>
        <v>28.623050520366668</v>
      </c>
      <c r="E4" s="19">
        <f aca="true" t="shared" si="2" ref="E4:E17">D4*$E$1</f>
        <v>1531.9056638500242</v>
      </c>
      <c r="F4" s="22">
        <v>1534</v>
      </c>
      <c r="G4" s="21">
        <f aca="true" t="shared" si="3" ref="G4:G17">F4-E4</f>
        <v>2.0943361499757884</v>
      </c>
    </row>
    <row r="5" spans="1:7" s="8" customFormat="1" ht="15">
      <c r="A5" s="4" t="s">
        <v>124</v>
      </c>
      <c r="B5" s="20">
        <v>17.9</v>
      </c>
      <c r="C5" s="20">
        <f t="shared" si="0"/>
        <v>1.1041767178992348</v>
      </c>
      <c r="D5" s="84">
        <f t="shared" si="1"/>
        <v>19.004176717899234</v>
      </c>
      <c r="E5" s="19">
        <f t="shared" si="2"/>
        <v>1017.103537941967</v>
      </c>
      <c r="F5" s="22">
        <v>1001</v>
      </c>
      <c r="G5" s="21">
        <f t="shared" si="3"/>
        <v>-16.103537941967033</v>
      </c>
    </row>
    <row r="6" spans="1:7" s="8" customFormat="1" ht="15">
      <c r="A6" s="4" t="s">
        <v>109</v>
      </c>
      <c r="B6" s="20">
        <v>9.95</v>
      </c>
      <c r="C6" s="20">
        <f t="shared" si="0"/>
        <v>0.6137742091115858</v>
      </c>
      <c r="D6" s="84">
        <f t="shared" si="1"/>
        <v>10.563774209111585</v>
      </c>
      <c r="E6" s="19">
        <f t="shared" si="2"/>
        <v>565.3731956716521</v>
      </c>
      <c r="F6" s="22">
        <v>572</v>
      </c>
      <c r="G6" s="21">
        <f t="shared" si="3"/>
        <v>6.62680432834793</v>
      </c>
    </row>
    <row r="7" spans="1:8" s="8" customFormat="1" ht="15">
      <c r="A7" s="4" t="s">
        <v>112</v>
      </c>
      <c r="B7" s="20">
        <v>9.95</v>
      </c>
      <c r="C7" s="20">
        <f t="shared" si="0"/>
        <v>0.6137742091115858</v>
      </c>
      <c r="D7" s="84">
        <f t="shared" si="1"/>
        <v>10.563774209111585</v>
      </c>
      <c r="E7" s="19">
        <f t="shared" si="2"/>
        <v>565.3731956716521</v>
      </c>
      <c r="F7" s="22">
        <v>566</v>
      </c>
      <c r="G7" s="21">
        <f t="shared" si="3"/>
        <v>0.6268043283479301</v>
      </c>
      <c r="H7" s="45"/>
    </row>
    <row r="8" spans="1:8" s="8" customFormat="1" ht="15">
      <c r="A8" s="4" t="s">
        <v>155</v>
      </c>
      <c r="B8" s="20">
        <v>8.9</v>
      </c>
      <c r="C8" s="20">
        <f t="shared" si="0"/>
        <v>0.549004066441519</v>
      </c>
      <c r="D8" s="84">
        <f t="shared" si="1"/>
        <v>9.44900406644152</v>
      </c>
      <c r="E8" s="19">
        <f t="shared" si="2"/>
        <v>505.71069763595017</v>
      </c>
      <c r="F8" s="98">
        <v>506</v>
      </c>
      <c r="G8" s="21">
        <f t="shared" si="3"/>
        <v>0.28930236404983134</v>
      </c>
      <c r="H8" s="45"/>
    </row>
    <row r="9" spans="1:8" s="8" customFormat="1" ht="15">
      <c r="A9" s="4" t="s">
        <v>431</v>
      </c>
      <c r="B9" s="20">
        <v>7.5</v>
      </c>
      <c r="C9" s="20">
        <f t="shared" si="0"/>
        <v>0.4626438762147632</v>
      </c>
      <c r="D9" s="84">
        <f t="shared" si="1"/>
        <v>7.962643876214763</v>
      </c>
      <c r="E9" s="19">
        <f t="shared" si="2"/>
        <v>426.16070025501415</v>
      </c>
      <c r="F9" s="98">
        <v>427</v>
      </c>
      <c r="G9" s="21">
        <f t="shared" si="3"/>
        <v>0.8392997449858512</v>
      </c>
      <c r="H9" s="45"/>
    </row>
    <row r="10" spans="1:7" s="8" customFormat="1" ht="15">
      <c r="A10" s="4" t="s">
        <v>426</v>
      </c>
      <c r="B10" s="20">
        <v>22.05</v>
      </c>
      <c r="C10" s="20">
        <f>B10/$B$19*$C$19</f>
        <v>1.3601729960714037</v>
      </c>
      <c r="D10" s="84">
        <f>B10+C10</f>
        <v>23.410172996071406</v>
      </c>
      <c r="E10" s="19">
        <f>D10*$E$1</f>
        <v>1252.9124587497417</v>
      </c>
      <c r="F10" s="22">
        <v>1254</v>
      </c>
      <c r="G10" s="21">
        <f>F10-E10</f>
        <v>1.0875412502582549</v>
      </c>
    </row>
    <row r="11" spans="1:7" s="8" customFormat="1" ht="15">
      <c r="A11" s="4" t="s">
        <v>409</v>
      </c>
      <c r="B11" s="20">
        <v>10.9</v>
      </c>
      <c r="C11" s="20">
        <f>B11/$B$19*$C$19</f>
        <v>0.6723757667654559</v>
      </c>
      <c r="D11" s="84">
        <f>B11+C11</f>
        <v>11.572375766765456</v>
      </c>
      <c r="E11" s="19">
        <f>D11*$E$1</f>
        <v>619.3535510372873</v>
      </c>
      <c r="F11" s="22">
        <v>620</v>
      </c>
      <c r="G11" s="21">
        <f>F11-E11</f>
        <v>0.646448962712725</v>
      </c>
    </row>
    <row r="12" spans="1:8" s="8" customFormat="1" ht="15">
      <c r="A12" s="4" t="s">
        <v>127</v>
      </c>
      <c r="B12" s="20">
        <v>9.2</v>
      </c>
      <c r="C12" s="20">
        <f>B12/$B$19*$C$19</f>
        <v>0.5675098214901094</v>
      </c>
      <c r="D12" s="84">
        <f>B12+C12</f>
        <v>9.767509821490108</v>
      </c>
      <c r="E12" s="19">
        <f>D12*$E$1</f>
        <v>522.7571256461506</v>
      </c>
      <c r="F12" s="22">
        <f>523-12</f>
        <v>511</v>
      </c>
      <c r="G12" s="21">
        <f>F12-E12</f>
        <v>-11.757125646150598</v>
      </c>
      <c r="H12" s="45" t="s">
        <v>499</v>
      </c>
    </row>
    <row r="13" spans="1:8" s="8" customFormat="1" ht="15">
      <c r="A13" s="4" t="s">
        <v>427</v>
      </c>
      <c r="B13" s="20">
        <v>10.9</v>
      </c>
      <c r="C13" s="20">
        <f>B13/$B$19*$C$19</f>
        <v>0.6723757667654559</v>
      </c>
      <c r="D13" s="84">
        <f>B13+C13</f>
        <v>11.572375766765456</v>
      </c>
      <c r="E13" s="19">
        <f>D13*$E$1</f>
        <v>619.3535510372873</v>
      </c>
      <c r="F13" s="98">
        <v>620</v>
      </c>
      <c r="G13" s="21">
        <f>F13-E13</f>
        <v>0.646448962712725</v>
      </c>
      <c r="H13" s="45"/>
    </row>
    <row r="14" spans="1:8" s="8" customFormat="1" ht="15">
      <c r="A14" s="4" t="s">
        <v>62</v>
      </c>
      <c r="B14" s="20">
        <v>7.5</v>
      </c>
      <c r="C14" s="20">
        <f>B14/$B$19*$C$19</f>
        <v>0.4626438762147632</v>
      </c>
      <c r="D14" s="84">
        <f>B14+C14</f>
        <v>7.962643876214763</v>
      </c>
      <c r="E14" s="19">
        <f>D14*$E$1</f>
        <v>426.16070025501415</v>
      </c>
      <c r="F14" s="98">
        <v>427</v>
      </c>
      <c r="G14" s="21">
        <f>F14-E14</f>
        <v>0.8392997449858512</v>
      </c>
      <c r="H14" s="45"/>
    </row>
    <row r="15" spans="1:8" s="8" customFormat="1" ht="15">
      <c r="A15" s="4" t="s">
        <v>418</v>
      </c>
      <c r="B15" s="20">
        <v>19.9</v>
      </c>
      <c r="C15" s="20">
        <f t="shared" si="0"/>
        <v>1.2275484182231715</v>
      </c>
      <c r="D15" s="84">
        <f t="shared" si="1"/>
        <v>21.12754841822317</v>
      </c>
      <c r="E15" s="19">
        <f t="shared" si="2"/>
        <v>1130.7463913433041</v>
      </c>
      <c r="F15" s="22">
        <v>1132</v>
      </c>
      <c r="G15" s="21">
        <f t="shared" si="3"/>
        <v>1.2536086566958602</v>
      </c>
      <c r="H15" s="45"/>
    </row>
    <row r="16" spans="1:8" s="8" customFormat="1" ht="15">
      <c r="A16" s="4" t="s">
        <v>428</v>
      </c>
      <c r="B16" s="20">
        <v>13.5</v>
      </c>
      <c r="C16" s="20">
        <f>B16/$B$19*$C$19</f>
        <v>0.8327589771865738</v>
      </c>
      <c r="D16" s="84">
        <f>B16+C16</f>
        <v>14.332758977186574</v>
      </c>
      <c r="E16" s="19">
        <f>D16*$E$1</f>
        <v>767.0892604590255</v>
      </c>
      <c r="F16" s="22">
        <v>768</v>
      </c>
      <c r="G16" s="21">
        <f>F16-E16</f>
        <v>0.9107395409745322</v>
      </c>
      <c r="H16" s="45"/>
    </row>
    <row r="17" spans="1:7" s="8" customFormat="1" ht="15">
      <c r="A17" s="97" t="s">
        <v>429</v>
      </c>
      <c r="B17" s="20">
        <v>7.5</v>
      </c>
      <c r="C17" s="20">
        <f t="shared" si="0"/>
        <v>0.4626438762147632</v>
      </c>
      <c r="D17" s="84">
        <f t="shared" si="1"/>
        <v>7.962643876214763</v>
      </c>
      <c r="E17" s="19">
        <f t="shared" si="2"/>
        <v>426.16070025501415</v>
      </c>
      <c r="F17" s="22">
        <v>427</v>
      </c>
      <c r="G17" s="21">
        <f t="shared" si="3"/>
        <v>0.8392997449858512</v>
      </c>
    </row>
    <row r="18" spans="1:7" s="8" customFormat="1" ht="15">
      <c r="A18" s="97" t="s">
        <v>224</v>
      </c>
      <c r="B18" s="20">
        <v>107.57</v>
      </c>
      <c r="C18" s="20">
        <f t="shared" si="0"/>
        <v>6.635546901922943</v>
      </c>
      <c r="D18" s="85"/>
      <c r="E18" s="28"/>
      <c r="F18" s="28"/>
      <c r="G18" s="28"/>
    </row>
    <row r="19" spans="1:7" s="8" customFormat="1" ht="15">
      <c r="A19" s="25"/>
      <c r="B19" s="86">
        <f>SUM(B4:B18)</f>
        <v>290.18</v>
      </c>
      <c r="C19" s="86">
        <v>17.9</v>
      </c>
      <c r="D19" s="91"/>
      <c r="E19" s="28"/>
      <c r="F19" s="28"/>
      <c r="G19" s="28"/>
    </row>
    <row r="22" ht="15">
      <c r="A22" s="102" t="s">
        <v>432</v>
      </c>
    </row>
    <row r="23" ht="31.5">
      <c r="A23" s="99" t="s">
        <v>124</v>
      </c>
    </row>
    <row r="24" ht="15">
      <c r="A24" s="101" t="s">
        <v>434</v>
      </c>
    </row>
    <row r="25" ht="31.5">
      <c r="A25" s="99" t="s">
        <v>431</v>
      </c>
    </row>
    <row r="26" ht="15">
      <c r="A26" s="100" t="s">
        <v>433</v>
      </c>
    </row>
    <row r="27" ht="31.5">
      <c r="A27" s="99" t="s">
        <v>426</v>
      </c>
    </row>
    <row r="28" ht="15">
      <c r="A28" s="101" t="s">
        <v>435</v>
      </c>
    </row>
    <row r="29" ht="15">
      <c r="A29" s="101" t="s">
        <v>436</v>
      </c>
    </row>
    <row r="30" ht="31.5">
      <c r="A30" s="99" t="s">
        <v>418</v>
      </c>
    </row>
    <row r="31" ht="15">
      <c r="A31" s="100" t="s">
        <v>437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205</v>
      </c>
      <c r="B1" s="10">
        <v>41943</v>
      </c>
      <c r="C1" s="10"/>
      <c r="D1" s="11" t="s">
        <v>206</v>
      </c>
      <c r="E1" s="12">
        <v>53.86</v>
      </c>
      <c r="G1" s="8" t="s">
        <v>207</v>
      </c>
    </row>
    <row r="2" spans="1:2" s="8" customFormat="1" ht="23.25" customHeight="1">
      <c r="A2" s="33" t="s">
        <v>440</v>
      </c>
      <c r="B2" s="87"/>
    </row>
    <row r="3" spans="1:7" s="15" customFormat="1" ht="53.25" customHeight="1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8" s="8" customFormat="1" ht="15">
      <c r="A4" s="4" t="s">
        <v>103</v>
      </c>
      <c r="B4" s="20">
        <v>14.4</v>
      </c>
      <c r="C4" s="20">
        <f aca="true" t="shared" si="0" ref="C4:C16">B4/$B$17*$C$17</f>
        <v>1.106646058732612</v>
      </c>
      <c r="D4" s="84">
        <f aca="true" t="shared" si="1" ref="D4:D9">B4+C4</f>
        <v>15.506646058732612</v>
      </c>
      <c r="E4" s="19">
        <f aca="true" t="shared" si="2" ref="E4:E9">D4*$E$1</f>
        <v>835.1879567233384</v>
      </c>
      <c r="F4" s="22">
        <f>830+11</f>
        <v>841</v>
      </c>
      <c r="G4" s="21">
        <f aca="true" t="shared" si="3" ref="G4:G9">F4-E4</f>
        <v>5.812043276661598</v>
      </c>
      <c r="H4" s="8" t="s">
        <v>451</v>
      </c>
    </row>
    <row r="5" spans="1:7" s="8" customFormat="1" ht="15">
      <c r="A5" s="4" t="s">
        <v>115</v>
      </c>
      <c r="B5" s="20">
        <v>21.8</v>
      </c>
      <c r="C5" s="20">
        <f t="shared" si="0"/>
        <v>1.6753391722479818</v>
      </c>
      <c r="D5" s="84">
        <f t="shared" si="1"/>
        <v>23.47533917224798</v>
      </c>
      <c r="E5" s="19">
        <f t="shared" si="2"/>
        <v>1264.3817678172763</v>
      </c>
      <c r="F5" s="22">
        <v>1256</v>
      </c>
      <c r="G5" s="21">
        <f t="shared" si="3"/>
        <v>-8.38176781727634</v>
      </c>
    </row>
    <row r="6" spans="1:7" s="8" customFormat="1" ht="15">
      <c r="A6" s="103">
        <v>51150</v>
      </c>
      <c r="B6" s="20">
        <v>12.9</v>
      </c>
      <c r="C6" s="20">
        <f t="shared" si="0"/>
        <v>0.9913704276146316</v>
      </c>
      <c r="D6" s="84">
        <f t="shared" si="1"/>
        <v>13.891370427614632</v>
      </c>
      <c r="E6" s="19">
        <f t="shared" si="2"/>
        <v>748.1892112313241</v>
      </c>
      <c r="F6" s="22">
        <f>743+5</f>
        <v>748</v>
      </c>
      <c r="G6" s="21">
        <f t="shared" si="3"/>
        <v>-0.18921123132406592</v>
      </c>
    </row>
    <row r="7" spans="1:8" s="8" customFormat="1" ht="15">
      <c r="A7" s="4" t="s">
        <v>441</v>
      </c>
      <c r="B7" s="20">
        <v>39.465</v>
      </c>
      <c r="C7" s="20">
        <f t="shared" si="0"/>
        <v>3.0329018547140647</v>
      </c>
      <c r="D7" s="84">
        <f t="shared" si="1"/>
        <v>42.497901854714065</v>
      </c>
      <c r="E7" s="19">
        <f t="shared" si="2"/>
        <v>2288.9369938948994</v>
      </c>
      <c r="F7" s="22">
        <f>2274+15</f>
        <v>2289</v>
      </c>
      <c r="G7" s="21">
        <f t="shared" si="3"/>
        <v>0.06300610510061233</v>
      </c>
      <c r="H7" s="45"/>
    </row>
    <row r="8" spans="1:8" s="8" customFormat="1" ht="15">
      <c r="A8" s="4" t="s">
        <v>178</v>
      </c>
      <c r="B8" s="20">
        <v>12.5</v>
      </c>
      <c r="C8" s="20">
        <f t="shared" si="0"/>
        <v>0.9606302593165034</v>
      </c>
      <c r="D8" s="84">
        <f t="shared" si="1"/>
        <v>13.460630259316503</v>
      </c>
      <c r="E8" s="19">
        <f t="shared" si="2"/>
        <v>724.9895457667868</v>
      </c>
      <c r="F8" s="98">
        <f>720+5</f>
        <v>725</v>
      </c>
      <c r="G8" s="21">
        <f t="shared" si="3"/>
        <v>0.010454233213181396</v>
      </c>
      <c r="H8" s="45"/>
    </row>
    <row r="9" spans="1:8" s="8" customFormat="1" ht="15">
      <c r="A9" s="4" t="s">
        <v>125</v>
      </c>
      <c r="B9" s="20">
        <v>42.05</v>
      </c>
      <c r="C9" s="20">
        <f t="shared" si="0"/>
        <v>3.231560192340717</v>
      </c>
      <c r="D9" s="84">
        <f t="shared" si="1"/>
        <v>45.28156019234071</v>
      </c>
      <c r="E9" s="19">
        <f t="shared" si="2"/>
        <v>2438.864831959471</v>
      </c>
      <c r="F9" s="98">
        <f>2422+15</f>
        <v>2437</v>
      </c>
      <c r="G9" s="21">
        <f t="shared" si="3"/>
        <v>-1.8648319594708482</v>
      </c>
      <c r="H9" s="45"/>
    </row>
    <row r="10" spans="1:7" s="8" customFormat="1" ht="15">
      <c r="A10" s="4" t="s">
        <v>429</v>
      </c>
      <c r="B10" s="20">
        <v>16.9</v>
      </c>
      <c r="C10" s="20">
        <f t="shared" si="0"/>
        <v>1.2987721105959125</v>
      </c>
      <c r="D10" s="84">
        <f aca="true" t="shared" si="4" ref="D10:D15">B10+C10</f>
        <v>18.19877211059591</v>
      </c>
      <c r="E10" s="19">
        <f aca="true" t="shared" si="5" ref="E10:E15">D10*$E$1</f>
        <v>980.1858658766957</v>
      </c>
      <c r="F10" s="22">
        <f>974+5</f>
        <v>979</v>
      </c>
      <c r="G10" s="21">
        <f aca="true" t="shared" si="6" ref="G10:G15">F10-E10</f>
        <v>-1.1858658766957433</v>
      </c>
    </row>
    <row r="11" spans="1:7" s="8" customFormat="1" ht="15">
      <c r="A11" s="4" t="s">
        <v>173</v>
      </c>
      <c r="B11" s="20">
        <v>6.75</v>
      </c>
      <c r="C11" s="20">
        <f t="shared" si="0"/>
        <v>0.5187403400309119</v>
      </c>
      <c r="D11" s="84">
        <f t="shared" si="4"/>
        <v>7.268740340030912</v>
      </c>
      <c r="E11" s="19">
        <f t="shared" si="5"/>
        <v>391.4943547140649</v>
      </c>
      <c r="F11" s="22">
        <v>389</v>
      </c>
      <c r="G11" s="21">
        <f t="shared" si="6"/>
        <v>-2.4943547140649116</v>
      </c>
    </row>
    <row r="12" spans="1:8" s="8" customFormat="1" ht="15">
      <c r="A12" s="4" t="s">
        <v>354</v>
      </c>
      <c r="B12" s="20">
        <v>4.005</v>
      </c>
      <c r="C12" s="20">
        <f t="shared" si="0"/>
        <v>0.3077859350850077</v>
      </c>
      <c r="D12" s="84">
        <f t="shared" si="4"/>
        <v>4.3127859350850075</v>
      </c>
      <c r="E12" s="19">
        <f t="shared" si="5"/>
        <v>232.2866504636785</v>
      </c>
      <c r="F12" s="22">
        <v>225</v>
      </c>
      <c r="G12" s="21">
        <f t="shared" si="6"/>
        <v>-7.286650463678512</v>
      </c>
      <c r="H12" s="45"/>
    </row>
    <row r="13" spans="1:8" s="8" customFormat="1" ht="15">
      <c r="A13" s="4" t="s">
        <v>442</v>
      </c>
      <c r="B13" s="20">
        <v>12.9</v>
      </c>
      <c r="C13" s="20">
        <f t="shared" si="0"/>
        <v>0.9913704276146316</v>
      </c>
      <c r="D13" s="84">
        <f t="shared" si="4"/>
        <v>13.891370427614632</v>
      </c>
      <c r="E13" s="19">
        <f t="shared" si="5"/>
        <v>748.1892112313241</v>
      </c>
      <c r="F13" s="98">
        <f>743+5</f>
        <v>748</v>
      </c>
      <c r="G13" s="21">
        <f t="shared" si="6"/>
        <v>-0.18921123132406592</v>
      </c>
      <c r="H13" s="45"/>
    </row>
    <row r="14" spans="1:8" s="8" customFormat="1" ht="15">
      <c r="A14" s="4" t="s">
        <v>97</v>
      </c>
      <c r="B14" s="20">
        <v>5.5</v>
      </c>
      <c r="C14" s="20">
        <f t="shared" si="0"/>
        <v>0.42267731409926146</v>
      </c>
      <c r="D14" s="84">
        <f t="shared" si="4"/>
        <v>5.9226773140992615</v>
      </c>
      <c r="E14" s="19">
        <f t="shared" si="5"/>
        <v>318.99540013738624</v>
      </c>
      <c r="F14" s="98">
        <f>291+2</f>
        <v>293</v>
      </c>
      <c r="G14" s="21">
        <f t="shared" si="6"/>
        <v>-25.99540013738624</v>
      </c>
      <c r="H14" s="45"/>
    </row>
    <row r="15" spans="1:8" s="8" customFormat="1" ht="15">
      <c r="A15" s="4" t="s">
        <v>63</v>
      </c>
      <c r="B15" s="20">
        <v>11.7</v>
      </c>
      <c r="C15" s="20">
        <f t="shared" si="0"/>
        <v>0.8991499227202472</v>
      </c>
      <c r="D15" s="84">
        <f t="shared" si="4"/>
        <v>12.599149922720246</v>
      </c>
      <c r="E15" s="19">
        <f t="shared" si="5"/>
        <v>678.5902148377124</v>
      </c>
      <c r="F15" s="22">
        <v>700</v>
      </c>
      <c r="G15" s="21">
        <f t="shared" si="6"/>
        <v>21.409785162287562</v>
      </c>
      <c r="H15" s="45"/>
    </row>
    <row r="16" spans="1:7" s="8" customFormat="1" ht="15">
      <c r="A16" s="97" t="s">
        <v>224</v>
      </c>
      <c r="B16" s="20">
        <v>32.05</v>
      </c>
      <c r="C16" s="20">
        <f t="shared" si="0"/>
        <v>2.4630559848875144</v>
      </c>
      <c r="D16" s="85"/>
      <c r="E16" s="28"/>
      <c r="F16" s="28"/>
      <c r="G16" s="28"/>
    </row>
    <row r="17" spans="1:7" s="8" customFormat="1" ht="15">
      <c r="A17" s="25"/>
      <c r="B17" s="86">
        <f>SUM(B4:B16)</f>
        <v>232.92000000000002</v>
      </c>
      <c r="C17" s="86">
        <v>17.9</v>
      </c>
      <c r="D17" s="91"/>
      <c r="E17" s="28"/>
      <c r="F17" s="28"/>
      <c r="G17" s="28"/>
    </row>
    <row r="19" ht="31.5">
      <c r="A19" s="50"/>
    </row>
    <row r="20" ht="31.5">
      <c r="A20" s="50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205</v>
      </c>
      <c r="B1" s="10">
        <v>41950</v>
      </c>
      <c r="C1" s="10"/>
      <c r="D1" s="11" t="s">
        <v>206</v>
      </c>
      <c r="E1" s="12">
        <v>60.73</v>
      </c>
      <c r="G1" s="8" t="s">
        <v>207</v>
      </c>
    </row>
    <row r="2" spans="1:2" s="8" customFormat="1" ht="23.25" customHeight="1">
      <c r="A2" s="33" t="s">
        <v>445</v>
      </c>
      <c r="B2" s="87"/>
    </row>
    <row r="3" spans="1:7" s="15" customFormat="1" ht="53.25" customHeight="1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118</v>
      </c>
      <c r="B4" s="20">
        <v>12.9</v>
      </c>
      <c r="C4" s="20">
        <f aca="true" t="shared" si="0" ref="C4:C14">B4/$B$15*$C$15</f>
        <v>0.7630361509483842</v>
      </c>
      <c r="D4" s="84">
        <f aca="true" t="shared" si="1" ref="D4:D13">B4+C4</f>
        <v>13.663036150948384</v>
      </c>
      <c r="E4" s="19">
        <f aca="true" t="shared" si="2" ref="E4:E13">D4*$E$1</f>
        <v>829.7561854470954</v>
      </c>
      <c r="F4" s="22">
        <v>810</v>
      </c>
      <c r="G4" s="21">
        <f aca="true" t="shared" si="3" ref="G4:G13">F4-E4</f>
        <v>-19.75618544709539</v>
      </c>
    </row>
    <row r="5" spans="1:7" s="8" customFormat="1" ht="15">
      <c r="A5" s="4" t="s">
        <v>446</v>
      </c>
      <c r="B5" s="20">
        <v>12.9</v>
      </c>
      <c r="C5" s="20">
        <f t="shared" si="0"/>
        <v>0.7630361509483842</v>
      </c>
      <c r="D5" s="84">
        <f t="shared" si="1"/>
        <v>13.663036150948384</v>
      </c>
      <c r="E5" s="19">
        <f t="shared" si="2"/>
        <v>829.7561854470954</v>
      </c>
      <c r="F5" s="22">
        <f>810+20</f>
        <v>830</v>
      </c>
      <c r="G5" s="21">
        <f t="shared" si="3"/>
        <v>0.24381455290460963</v>
      </c>
    </row>
    <row r="6" spans="1:7" s="8" customFormat="1" ht="15">
      <c r="A6" s="103" t="s">
        <v>414</v>
      </c>
      <c r="B6" s="20">
        <v>25.11</v>
      </c>
      <c r="C6" s="20">
        <f t="shared" si="0"/>
        <v>1.4852587403344129</v>
      </c>
      <c r="D6" s="84">
        <f t="shared" si="1"/>
        <v>26.595258740334412</v>
      </c>
      <c r="E6" s="19">
        <f t="shared" si="2"/>
        <v>1615.1300633005087</v>
      </c>
      <c r="F6" s="22">
        <f>1577+38</f>
        <v>1615</v>
      </c>
      <c r="G6" s="21">
        <f t="shared" si="3"/>
        <v>-0.1300633005087093</v>
      </c>
    </row>
    <row r="7" spans="1:8" s="8" customFormat="1" ht="15">
      <c r="A7" s="4" t="s">
        <v>115</v>
      </c>
      <c r="B7" s="20">
        <v>15.5</v>
      </c>
      <c r="C7" s="20">
        <f t="shared" si="0"/>
        <v>0.9168263829224771</v>
      </c>
      <c r="D7" s="84">
        <f t="shared" si="1"/>
        <v>16.416826382922476</v>
      </c>
      <c r="E7" s="19">
        <f t="shared" si="2"/>
        <v>996.9938662348819</v>
      </c>
      <c r="F7" s="22">
        <f>974+32</f>
        <v>1006</v>
      </c>
      <c r="G7" s="21">
        <f t="shared" si="3"/>
        <v>9.00613376511808</v>
      </c>
      <c r="H7" s="45"/>
    </row>
    <row r="8" spans="1:8" s="8" customFormat="1" ht="15">
      <c r="A8" s="4" t="s">
        <v>95</v>
      </c>
      <c r="B8" s="20">
        <v>10.9</v>
      </c>
      <c r="C8" s="20">
        <f t="shared" si="0"/>
        <v>0.6447359725067743</v>
      </c>
      <c r="D8" s="84">
        <f t="shared" si="1"/>
        <v>11.544735972506775</v>
      </c>
      <c r="E8" s="19">
        <f t="shared" si="2"/>
        <v>701.1118156103364</v>
      </c>
      <c r="F8" s="98">
        <f>140+500</f>
        <v>640</v>
      </c>
      <c r="G8" s="21">
        <f t="shared" si="3"/>
        <v>-61.11181561033641</v>
      </c>
      <c r="H8" s="45"/>
    </row>
    <row r="9" spans="1:8" s="8" customFormat="1" ht="15">
      <c r="A9" s="4" t="s">
        <v>447</v>
      </c>
      <c r="B9" s="20">
        <v>10.8</v>
      </c>
      <c r="C9" s="20">
        <f t="shared" si="0"/>
        <v>0.6388209635846938</v>
      </c>
      <c r="D9" s="84">
        <f t="shared" si="1"/>
        <v>11.438820963584694</v>
      </c>
      <c r="E9" s="19">
        <f t="shared" si="2"/>
        <v>694.6795971184985</v>
      </c>
      <c r="F9" s="98">
        <f>678+17</f>
        <v>695</v>
      </c>
      <c r="G9" s="21">
        <f t="shared" si="3"/>
        <v>0.3204028815015363</v>
      </c>
      <c r="H9" s="45"/>
    </row>
    <row r="10" spans="1:7" s="8" customFormat="1" ht="15">
      <c r="A10" s="4" t="s">
        <v>63</v>
      </c>
      <c r="B10" s="20">
        <v>9.85</v>
      </c>
      <c r="C10" s="20">
        <f t="shared" si="0"/>
        <v>0.582628378824929</v>
      </c>
      <c r="D10" s="84">
        <f t="shared" si="1"/>
        <v>10.432628378824928</v>
      </c>
      <c r="E10" s="19">
        <f t="shared" si="2"/>
        <v>633.5735214460378</v>
      </c>
      <c r="F10" s="22">
        <f>597+15</f>
        <v>612</v>
      </c>
      <c r="G10" s="21">
        <f t="shared" si="3"/>
        <v>-21.57352144603783</v>
      </c>
    </row>
    <row r="11" spans="1:7" s="8" customFormat="1" ht="15">
      <c r="A11" s="4" t="s">
        <v>38</v>
      </c>
      <c r="B11" s="20">
        <v>18.4</v>
      </c>
      <c r="C11" s="20">
        <f t="shared" si="0"/>
        <v>1.0883616416628115</v>
      </c>
      <c r="D11" s="84">
        <f t="shared" si="1"/>
        <v>19.48836164166281</v>
      </c>
      <c r="E11" s="19">
        <f t="shared" si="2"/>
        <v>1183.5282024981823</v>
      </c>
      <c r="F11" s="22">
        <f>1169+27</f>
        <v>1196</v>
      </c>
      <c r="G11" s="21">
        <f t="shared" si="3"/>
        <v>12.471797501817719</v>
      </c>
    </row>
    <row r="12" spans="1:8" s="8" customFormat="1" ht="15">
      <c r="A12" s="4" t="s">
        <v>448</v>
      </c>
      <c r="B12" s="20">
        <v>55.3</v>
      </c>
      <c r="C12" s="20">
        <f t="shared" si="0"/>
        <v>3.270999933910515</v>
      </c>
      <c r="D12" s="84">
        <f t="shared" si="1"/>
        <v>58.570999933910514</v>
      </c>
      <c r="E12" s="19">
        <f t="shared" si="2"/>
        <v>3557.0168259863854</v>
      </c>
      <c r="F12" s="22">
        <f>3500+57</f>
        <v>3557</v>
      </c>
      <c r="G12" s="21">
        <f t="shared" si="3"/>
        <v>-0.016825986385356373</v>
      </c>
      <c r="H12" s="45"/>
    </row>
    <row r="13" spans="1:8" s="8" customFormat="1" ht="15">
      <c r="A13" s="4" t="s">
        <v>418</v>
      </c>
      <c r="B13" s="20">
        <v>100.2</v>
      </c>
      <c r="C13" s="20">
        <f t="shared" si="0"/>
        <v>5.926838939924658</v>
      </c>
      <c r="D13" s="84">
        <f t="shared" si="1"/>
        <v>106.12683893992467</v>
      </c>
      <c r="E13" s="19">
        <f t="shared" si="2"/>
        <v>6445.082928821625</v>
      </c>
      <c r="F13" s="98">
        <v>6294</v>
      </c>
      <c r="G13" s="21">
        <f t="shared" si="3"/>
        <v>-151.0829288216246</v>
      </c>
      <c r="H13" s="45"/>
    </row>
    <row r="14" spans="1:7" s="8" customFormat="1" ht="15">
      <c r="A14" s="97" t="s">
        <v>224</v>
      </c>
      <c r="B14" s="20">
        <v>30.76</v>
      </c>
      <c r="C14" s="20">
        <f t="shared" si="0"/>
        <v>1.8194567444319611</v>
      </c>
      <c r="D14" s="85"/>
      <c r="E14" s="28"/>
      <c r="F14" s="28"/>
      <c r="G14" s="28"/>
    </row>
    <row r="15" spans="1:7" s="8" customFormat="1" ht="15">
      <c r="A15" s="25"/>
      <c r="B15" s="86">
        <f>SUM(B4:B14)</f>
        <v>302.61999999999995</v>
      </c>
      <c r="C15" s="86">
        <v>17.9</v>
      </c>
      <c r="D15" s="91"/>
      <c r="E15" s="28"/>
      <c r="F15" s="28"/>
      <c r="G15" s="28"/>
    </row>
    <row r="18" ht="15">
      <c r="A18" t="s">
        <v>449</v>
      </c>
    </row>
    <row r="19" ht="31.5">
      <c r="A19" s="99" t="s">
        <v>448</v>
      </c>
    </row>
    <row r="20" ht="15">
      <c r="A20" s="100" t="s">
        <v>450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8" customFormat="1" ht="21.75" customHeight="1">
      <c r="A1" s="9" t="s">
        <v>205</v>
      </c>
      <c r="B1" s="10">
        <v>41963</v>
      </c>
      <c r="C1" s="10"/>
      <c r="D1" s="11" t="s">
        <v>206</v>
      </c>
      <c r="E1" s="12">
        <v>58.57</v>
      </c>
      <c r="G1" s="8" t="s">
        <v>207</v>
      </c>
    </row>
    <row r="2" spans="1:2" s="8" customFormat="1" ht="23.25" customHeight="1">
      <c r="A2" s="33" t="s">
        <v>452</v>
      </c>
      <c r="B2" s="87"/>
    </row>
    <row r="3" spans="1:7" s="15" customFormat="1" ht="53.25" customHeight="1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8" s="8" customFormat="1" ht="15">
      <c r="A4" s="4" t="s">
        <v>155</v>
      </c>
      <c r="B4" s="20">
        <v>5.5</v>
      </c>
      <c r="C4" s="20">
        <f aca="true" t="shared" si="0" ref="C4:C13">B4/$B$14*$C$14</f>
        <v>0.404312114989733</v>
      </c>
      <c r="D4" s="84">
        <f aca="true" t="shared" si="1" ref="D4:D12">B4+C4</f>
        <v>5.904312114989733</v>
      </c>
      <c r="E4" s="19">
        <f aca="true" t="shared" si="2" ref="E4:E12">D4*$E$1</f>
        <v>345.8155605749487</v>
      </c>
      <c r="F4" s="22">
        <f>354-9</f>
        <v>345</v>
      </c>
      <c r="G4" s="21">
        <f aca="true" t="shared" si="3" ref="G4:G12">F4-E4</f>
        <v>-0.8155605749486767</v>
      </c>
      <c r="H4" s="8" t="s">
        <v>470</v>
      </c>
    </row>
    <row r="5" spans="1:7" s="8" customFormat="1" ht="15">
      <c r="A5" s="4" t="s">
        <v>453</v>
      </c>
      <c r="B5" s="20">
        <v>16.5</v>
      </c>
      <c r="C5" s="20">
        <f t="shared" si="0"/>
        <v>1.212936344969199</v>
      </c>
      <c r="D5" s="84">
        <f t="shared" si="1"/>
        <v>17.7129363449692</v>
      </c>
      <c r="E5" s="19">
        <f t="shared" si="2"/>
        <v>1037.446681724846</v>
      </c>
      <c r="F5" s="22">
        <v>1064</v>
      </c>
      <c r="G5" s="21">
        <f t="shared" si="3"/>
        <v>26.55331827515397</v>
      </c>
    </row>
    <row r="6" spans="1:7" s="8" customFormat="1" ht="15">
      <c r="A6" s="103" t="s">
        <v>140</v>
      </c>
      <c r="B6" s="20">
        <v>8.9</v>
      </c>
      <c r="C6" s="20">
        <f t="shared" si="0"/>
        <v>0.6542505133470226</v>
      </c>
      <c r="D6" s="84">
        <f t="shared" si="1"/>
        <v>9.554250513347023</v>
      </c>
      <c r="E6" s="19">
        <f t="shared" si="2"/>
        <v>559.5924525667351</v>
      </c>
      <c r="F6" s="22">
        <v>574</v>
      </c>
      <c r="G6" s="21">
        <f t="shared" si="3"/>
        <v>14.407547433264881</v>
      </c>
    </row>
    <row r="7" spans="1:8" s="8" customFormat="1" ht="15">
      <c r="A7" s="4" t="s">
        <v>454</v>
      </c>
      <c r="B7" s="20">
        <v>55.85</v>
      </c>
      <c r="C7" s="20">
        <f t="shared" si="0"/>
        <v>4.105605749486652</v>
      </c>
      <c r="D7" s="84">
        <f t="shared" si="1"/>
        <v>59.95560574948665</v>
      </c>
      <c r="E7" s="19">
        <f t="shared" si="2"/>
        <v>3511.599828747433</v>
      </c>
      <c r="F7" s="98">
        <f>4200-620-5</f>
        <v>3575</v>
      </c>
      <c r="G7" s="21">
        <f t="shared" si="3"/>
        <v>63.400171252566906</v>
      </c>
      <c r="H7" s="45" t="s">
        <v>459</v>
      </c>
    </row>
    <row r="8" spans="1:8" s="8" customFormat="1" ht="15">
      <c r="A8" s="4" t="s">
        <v>455</v>
      </c>
      <c r="B8" s="20">
        <v>23.9</v>
      </c>
      <c r="C8" s="20">
        <f t="shared" si="0"/>
        <v>1.756919917864476</v>
      </c>
      <c r="D8" s="84">
        <f t="shared" si="1"/>
        <v>25.656919917864474</v>
      </c>
      <c r="E8" s="19">
        <f t="shared" si="2"/>
        <v>1502.7257995893224</v>
      </c>
      <c r="F8" s="98">
        <v>1542</v>
      </c>
      <c r="G8" s="21">
        <f t="shared" si="3"/>
        <v>39.27420041067762</v>
      </c>
      <c r="H8" s="45"/>
    </row>
    <row r="9" spans="1:8" s="8" customFormat="1" ht="15">
      <c r="A9" s="4" t="s">
        <v>254</v>
      </c>
      <c r="B9" s="20">
        <v>54.5</v>
      </c>
      <c r="C9" s="20">
        <f t="shared" si="0"/>
        <v>4.006365503080081</v>
      </c>
      <c r="D9" s="84">
        <f t="shared" si="1"/>
        <v>58.50636550308008</v>
      </c>
      <c r="E9" s="19">
        <f t="shared" si="2"/>
        <v>3426.7178275154006</v>
      </c>
      <c r="F9" s="98">
        <f>3515-74</f>
        <v>3441</v>
      </c>
      <c r="G9" s="21">
        <f t="shared" si="3"/>
        <v>14.282172484599414</v>
      </c>
      <c r="H9" s="45" t="s">
        <v>458</v>
      </c>
    </row>
    <row r="10" spans="1:7" s="8" customFormat="1" ht="15">
      <c r="A10" s="4" t="s">
        <v>409</v>
      </c>
      <c r="B10" s="20">
        <v>15.9</v>
      </c>
      <c r="C10" s="20">
        <f t="shared" si="0"/>
        <v>1.1688295687885006</v>
      </c>
      <c r="D10" s="84">
        <f t="shared" si="1"/>
        <v>17.0688295687885</v>
      </c>
      <c r="E10" s="19">
        <f t="shared" si="2"/>
        <v>999.7213478439426</v>
      </c>
      <c r="F10" s="22">
        <v>1017</v>
      </c>
      <c r="G10" s="21">
        <f t="shared" si="3"/>
        <v>17.278652156057433</v>
      </c>
    </row>
    <row r="11" spans="1:8" s="8" customFormat="1" ht="15">
      <c r="A11" s="4" t="s">
        <v>331</v>
      </c>
      <c r="B11" s="20">
        <v>15.9</v>
      </c>
      <c r="C11" s="20">
        <f t="shared" si="0"/>
        <v>1.1688295687885006</v>
      </c>
      <c r="D11" s="84">
        <f t="shared" si="1"/>
        <v>17.0688295687885</v>
      </c>
      <c r="E11" s="19">
        <f t="shared" si="2"/>
        <v>999.7213478439426</v>
      </c>
      <c r="F11" s="22">
        <f>1026-29</f>
        <v>997</v>
      </c>
      <c r="G11" s="21">
        <f t="shared" si="3"/>
        <v>-2.721347843942567</v>
      </c>
      <c r="H11" s="8" t="s">
        <v>469</v>
      </c>
    </row>
    <row r="12" spans="1:8" s="8" customFormat="1" ht="15">
      <c r="A12" s="4" t="s">
        <v>418</v>
      </c>
      <c r="B12" s="20">
        <v>19.9</v>
      </c>
      <c r="C12" s="20">
        <f t="shared" si="0"/>
        <v>1.4628747433264884</v>
      </c>
      <c r="D12" s="84">
        <f t="shared" si="1"/>
        <v>21.362874743326486</v>
      </c>
      <c r="E12" s="19">
        <f t="shared" si="2"/>
        <v>1251.2235737166322</v>
      </c>
      <c r="F12" s="22">
        <v>1433</v>
      </c>
      <c r="G12" s="21">
        <f t="shared" si="3"/>
        <v>181.77642628336775</v>
      </c>
      <c r="H12" s="45"/>
    </row>
    <row r="13" spans="1:7" s="8" customFormat="1" ht="15">
      <c r="A13" s="97" t="s">
        <v>224</v>
      </c>
      <c r="B13" s="20">
        <v>26.65</v>
      </c>
      <c r="C13" s="20">
        <f t="shared" si="0"/>
        <v>1.9590759753593423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243.50000000000003</v>
      </c>
      <c r="C14" s="86">
        <v>17.9</v>
      </c>
      <c r="D14" s="91"/>
      <c r="E14" s="28"/>
      <c r="F14" s="28"/>
      <c r="G14" s="28"/>
    </row>
    <row r="16" ht="15">
      <c r="A16" t="s">
        <v>449</v>
      </c>
    </row>
    <row r="17" ht="31.5">
      <c r="A17" s="99" t="s">
        <v>418</v>
      </c>
    </row>
    <row r="18" ht="15">
      <c r="A18" s="100" t="s">
        <v>456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8" customFormat="1" ht="21.75" customHeight="1">
      <c r="A1" s="9" t="s">
        <v>205</v>
      </c>
      <c r="B1" s="10">
        <v>41978</v>
      </c>
      <c r="C1" s="10"/>
      <c r="D1" s="11" t="s">
        <v>206</v>
      </c>
      <c r="E1" s="12">
        <v>67.29</v>
      </c>
      <c r="G1" s="8" t="s">
        <v>207</v>
      </c>
    </row>
    <row r="2" spans="1:2" s="8" customFormat="1" ht="23.25" customHeight="1">
      <c r="A2" s="33" t="s">
        <v>460</v>
      </c>
      <c r="B2" s="87"/>
    </row>
    <row r="3" spans="1:7" s="15" customFormat="1" ht="53.25" customHeight="1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463</v>
      </c>
      <c r="B4" s="20">
        <v>8.5</v>
      </c>
      <c r="C4" s="20">
        <f aca="true" t="shared" si="0" ref="C4:C16">B4/$B$17*$C$17</f>
        <v>0.612951152340919</v>
      </c>
      <c r="D4" s="84">
        <f aca="true" t="shared" si="1" ref="D4:D15">B4+C4</f>
        <v>9.11295115234092</v>
      </c>
      <c r="E4" s="19">
        <f aca="true" t="shared" si="2" ref="E4:E15">D4*$E$1</f>
        <v>613.2104830410206</v>
      </c>
      <c r="F4" s="22">
        <f>595+18</f>
        <v>613</v>
      </c>
      <c r="G4" s="21">
        <f aca="true" t="shared" si="3" ref="G4:G15">F4-E4</f>
        <v>-0.21048304102055226</v>
      </c>
    </row>
    <row r="5" spans="1:7" s="8" customFormat="1" ht="15">
      <c r="A5" s="4" t="s">
        <v>173</v>
      </c>
      <c r="B5" s="20">
        <v>11.9</v>
      </c>
      <c r="C5" s="20">
        <f t="shared" si="0"/>
        <v>0.8581316132772866</v>
      </c>
      <c r="D5" s="84">
        <f t="shared" si="1"/>
        <v>12.758131613277287</v>
      </c>
      <c r="E5" s="19">
        <f t="shared" si="2"/>
        <v>858.4946762574288</v>
      </c>
      <c r="F5" s="22">
        <f>833+25</f>
        <v>858</v>
      </c>
      <c r="G5" s="21">
        <f t="shared" si="3"/>
        <v>-0.49467625742875043</v>
      </c>
    </row>
    <row r="6" spans="1:7" s="8" customFormat="1" ht="15">
      <c r="A6" s="103" t="s">
        <v>24</v>
      </c>
      <c r="B6" s="20">
        <v>16.4</v>
      </c>
      <c r="C6" s="20">
        <f t="shared" si="0"/>
        <v>1.1826351645165964</v>
      </c>
      <c r="D6" s="84">
        <f t="shared" si="1"/>
        <v>17.582635164516596</v>
      </c>
      <c r="E6" s="19">
        <f t="shared" si="2"/>
        <v>1183.1355202203217</v>
      </c>
      <c r="F6" s="22">
        <f>1148+35</f>
        <v>1183</v>
      </c>
      <c r="G6" s="21">
        <f t="shared" si="3"/>
        <v>-0.13552022032172317</v>
      </c>
    </row>
    <row r="7" spans="1:8" s="8" customFormat="1" ht="15">
      <c r="A7" s="4" t="s">
        <v>407</v>
      </c>
      <c r="B7" s="20">
        <v>10.9</v>
      </c>
      <c r="C7" s="20">
        <f t="shared" si="0"/>
        <v>0.7860197130018844</v>
      </c>
      <c r="D7" s="84">
        <f t="shared" si="1"/>
        <v>11.686019713001885</v>
      </c>
      <c r="E7" s="19">
        <f t="shared" si="2"/>
        <v>786.3522664878969</v>
      </c>
      <c r="F7" s="98">
        <v>764</v>
      </c>
      <c r="G7" s="21">
        <f t="shared" si="3"/>
        <v>-22.35226648789694</v>
      </c>
      <c r="H7" s="45"/>
    </row>
    <row r="8" spans="1:8" s="8" customFormat="1" ht="15">
      <c r="A8" s="4" t="s">
        <v>464</v>
      </c>
      <c r="B8" s="20">
        <v>18.9</v>
      </c>
      <c r="C8" s="20">
        <f t="shared" si="0"/>
        <v>1.362914915205102</v>
      </c>
      <c r="D8" s="84">
        <f t="shared" si="1"/>
        <v>20.2629149152051</v>
      </c>
      <c r="E8" s="19">
        <f t="shared" si="2"/>
        <v>1363.4915446441514</v>
      </c>
      <c r="F8" s="98">
        <f>1323+40</f>
        <v>1363</v>
      </c>
      <c r="G8" s="21">
        <f t="shared" si="3"/>
        <v>-0.49154464415141774</v>
      </c>
      <c r="H8" s="45"/>
    </row>
    <row r="9" spans="1:8" s="8" customFormat="1" ht="15">
      <c r="A9" s="4" t="s">
        <v>175</v>
      </c>
      <c r="B9" s="20">
        <v>20.45</v>
      </c>
      <c r="C9" s="20">
        <f t="shared" si="0"/>
        <v>1.4746883606319754</v>
      </c>
      <c r="D9" s="84">
        <f>B9+C9</f>
        <v>21.924688360631976</v>
      </c>
      <c r="E9" s="19">
        <f>D9*$E$1</f>
        <v>1475.3122797869257</v>
      </c>
      <c r="F9" s="22">
        <f>2271-520-160-116</f>
        <v>1475</v>
      </c>
      <c r="G9" s="21">
        <f>F9-E9</f>
        <v>-0.31227978692572833</v>
      </c>
      <c r="H9" s="8" t="s">
        <v>484</v>
      </c>
    </row>
    <row r="10" spans="1:7" s="8" customFormat="1" ht="15">
      <c r="A10" s="103" t="s">
        <v>465</v>
      </c>
      <c r="B10" s="20">
        <v>10.9</v>
      </c>
      <c r="C10" s="20">
        <f t="shared" si="0"/>
        <v>0.7860197130018844</v>
      </c>
      <c r="D10" s="84">
        <f>B10+C10</f>
        <v>11.686019713001885</v>
      </c>
      <c r="E10" s="19">
        <f>D10*$E$1</f>
        <v>786.3522664878969</v>
      </c>
      <c r="F10" s="22">
        <f>763+23</f>
        <v>786</v>
      </c>
      <c r="G10" s="21">
        <f>F10-E10</f>
        <v>-0.3522664878969408</v>
      </c>
    </row>
    <row r="11" spans="1:8" s="8" customFormat="1" ht="15">
      <c r="A11" s="4" t="s">
        <v>418</v>
      </c>
      <c r="B11" s="20">
        <v>69.5</v>
      </c>
      <c r="C11" s="20">
        <f t="shared" si="0"/>
        <v>5.0117770691404555</v>
      </c>
      <c r="D11" s="84">
        <f>B11+C11</f>
        <v>74.51177706914045</v>
      </c>
      <c r="E11" s="19">
        <f>D11*$E$1</f>
        <v>5013.8974789824615</v>
      </c>
      <c r="F11" s="98">
        <f>4834+180-32</f>
        <v>4982</v>
      </c>
      <c r="G11" s="21">
        <f>F11-E11</f>
        <v>-31.897478982461507</v>
      </c>
      <c r="H11" s="45" t="s">
        <v>485</v>
      </c>
    </row>
    <row r="12" spans="1:8" s="8" customFormat="1" ht="15">
      <c r="A12" s="4" t="s">
        <v>91</v>
      </c>
      <c r="B12" s="20">
        <v>17.8</v>
      </c>
      <c r="C12" s="20">
        <f t="shared" si="0"/>
        <v>1.2835918249021598</v>
      </c>
      <c r="D12" s="84">
        <f>B12+C12</f>
        <v>19.08359182490216</v>
      </c>
      <c r="E12" s="19">
        <f>D12*$E$1</f>
        <v>1284.1348938976666</v>
      </c>
      <c r="F12" s="98">
        <f>1240+38</f>
        <v>1278</v>
      </c>
      <c r="G12" s="21">
        <f>F12-E12</f>
        <v>-6.134893897666643</v>
      </c>
      <c r="H12" s="45"/>
    </row>
    <row r="13" spans="1:8" s="8" customFormat="1" ht="15">
      <c r="A13" s="4" t="s">
        <v>414</v>
      </c>
      <c r="B13" s="20">
        <v>25.39</v>
      </c>
      <c r="C13" s="20">
        <f t="shared" si="0"/>
        <v>1.8309211479924625</v>
      </c>
      <c r="D13" s="84">
        <f t="shared" si="1"/>
        <v>27.220921147992463</v>
      </c>
      <c r="E13" s="19">
        <f t="shared" si="2"/>
        <v>1831.695784048413</v>
      </c>
      <c r="F13" s="98">
        <f>1778+54</f>
        <v>1832</v>
      </c>
      <c r="G13" s="21">
        <f t="shared" si="3"/>
        <v>0.3042159515869116</v>
      </c>
      <c r="H13" s="45"/>
    </row>
    <row r="14" spans="1:7" s="8" customFormat="1" ht="15">
      <c r="A14" s="4" t="s">
        <v>318</v>
      </c>
      <c r="B14" s="20">
        <v>7.5</v>
      </c>
      <c r="C14" s="20">
        <f t="shared" si="0"/>
        <v>0.5408392520655168</v>
      </c>
      <c r="D14" s="84">
        <f t="shared" si="1"/>
        <v>8.040839252065517</v>
      </c>
      <c r="E14" s="19">
        <f t="shared" si="2"/>
        <v>541.0680732714887</v>
      </c>
      <c r="F14" s="22">
        <f>526+16</f>
        <v>542</v>
      </c>
      <c r="G14" s="21">
        <f t="shared" si="3"/>
        <v>0.9319267285112574</v>
      </c>
    </row>
    <row r="15" spans="1:7" s="8" customFormat="1" ht="15">
      <c r="A15" s="4" t="s">
        <v>466</v>
      </c>
      <c r="B15" s="20">
        <v>15.5</v>
      </c>
      <c r="C15" s="20">
        <f t="shared" si="0"/>
        <v>1.1177344542687346</v>
      </c>
      <c r="D15" s="84">
        <f t="shared" si="1"/>
        <v>16.617734454268735</v>
      </c>
      <c r="E15" s="19">
        <f t="shared" si="2"/>
        <v>1118.2073514277433</v>
      </c>
      <c r="F15" s="22">
        <f>1085+33</f>
        <v>1118</v>
      </c>
      <c r="G15" s="21">
        <f t="shared" si="3"/>
        <v>-0.20735142774333326</v>
      </c>
    </row>
    <row r="16" spans="1:7" s="8" customFormat="1" ht="15">
      <c r="A16" s="97" t="s">
        <v>224</v>
      </c>
      <c r="B16" s="20">
        <v>42.32</v>
      </c>
      <c r="C16" s="20">
        <f t="shared" si="0"/>
        <v>3.0517756196550225</v>
      </c>
      <c r="D16" s="85"/>
      <c r="E16" s="28"/>
      <c r="F16" s="28"/>
      <c r="G16" s="28"/>
    </row>
    <row r="17" spans="1:7" s="8" customFormat="1" ht="15">
      <c r="A17" s="25"/>
      <c r="B17" s="86">
        <f>SUM(B4:B16)</f>
        <v>275.96</v>
      </c>
      <c r="C17" s="86">
        <v>19.9</v>
      </c>
      <c r="D17" s="91"/>
      <c r="E17" s="28"/>
      <c r="F17" s="28"/>
      <c r="G17" s="28"/>
    </row>
    <row r="19" ht="15">
      <c r="A19" t="s">
        <v>449</v>
      </c>
    </row>
    <row r="20" spans="1:2" ht="31.5">
      <c r="A20" s="99" t="s">
        <v>461</v>
      </c>
      <c r="B20" s="105"/>
    </row>
    <row r="21" ht="15">
      <c r="A21" s="100" t="s">
        <v>462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8" customFormat="1" ht="21">
      <c r="A1" s="9" t="s">
        <v>205</v>
      </c>
      <c r="B1" s="10">
        <v>41248</v>
      </c>
      <c r="C1" s="10"/>
      <c r="D1" s="11" t="s">
        <v>206</v>
      </c>
      <c r="E1" s="12">
        <v>40.862</v>
      </c>
      <c r="F1" s="8" t="s">
        <v>207</v>
      </c>
    </row>
    <row r="2" s="8" customFormat="1" ht="23.25" customHeight="1">
      <c r="A2" s="33" t="s">
        <v>230</v>
      </c>
    </row>
    <row r="3" spans="1:9" s="15" customFormat="1" ht="45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15" customFormat="1" ht="15">
      <c r="A4" s="4" t="s">
        <v>224</v>
      </c>
      <c r="B4" s="16">
        <v>25.799999999999997</v>
      </c>
      <c r="C4" s="16">
        <f>B4*0.95</f>
        <v>24.509999999999994</v>
      </c>
      <c r="D4" s="16">
        <f>B4/$B$12*$D$12</f>
        <v>2.0521642619311877</v>
      </c>
      <c r="E4" s="35"/>
      <c r="F4" s="36"/>
      <c r="G4" s="37"/>
      <c r="H4" s="38"/>
      <c r="I4" s="23"/>
    </row>
    <row r="5" spans="1:10" s="8" customFormat="1" ht="15">
      <c r="A5" s="4" t="s">
        <v>174</v>
      </c>
      <c r="B5" s="16">
        <v>90.4</v>
      </c>
      <c r="C5" s="16">
        <f aca="true" t="shared" si="0" ref="C5:C10">B5*0.95</f>
        <v>85.88</v>
      </c>
      <c r="D5" s="16">
        <f aca="true" t="shared" si="1" ref="D5:D10">B5/$B$12*$D$12</f>
        <v>7.190529041805402</v>
      </c>
      <c r="E5" s="17">
        <f aca="true" t="shared" si="2" ref="E5:E10">(C5+D5)*$E$1</f>
        <v>3803.0479577062524</v>
      </c>
      <c r="F5" s="18"/>
      <c r="G5" s="19">
        <f aca="true" t="shared" si="3" ref="G5:G11">E5-F5</f>
        <v>3803.0479577062524</v>
      </c>
      <c r="H5" s="22">
        <f>3000+115-2</f>
        <v>3113</v>
      </c>
      <c r="I5" s="21">
        <f>H5-G5+F5</f>
        <v>-690.0479577062524</v>
      </c>
      <c r="J5" s="8" t="s">
        <v>231</v>
      </c>
    </row>
    <row r="6" spans="1:10" s="8" customFormat="1" ht="15">
      <c r="A6" s="4" t="s">
        <v>176</v>
      </c>
      <c r="B6" s="16">
        <v>11.5</v>
      </c>
      <c r="C6" s="16">
        <f t="shared" si="0"/>
        <v>10.924999999999999</v>
      </c>
      <c r="D6" s="16">
        <f t="shared" si="1"/>
        <v>0.9147243803181653</v>
      </c>
      <c r="E6" s="17">
        <f t="shared" si="2"/>
        <v>483.79481762856085</v>
      </c>
      <c r="F6" s="18"/>
      <c r="G6" s="19">
        <f t="shared" si="3"/>
        <v>483.79481762856085</v>
      </c>
      <c r="H6" s="22"/>
      <c r="I6" s="21">
        <f aca="true" t="shared" si="4" ref="I6:I11">H6-G6</f>
        <v>-483.79481762856085</v>
      </c>
      <c r="J6" s="33"/>
    </row>
    <row r="7" spans="1:10" s="8" customFormat="1" ht="15">
      <c r="A7" s="4" t="s">
        <v>117</v>
      </c>
      <c r="B7" s="16">
        <v>12.6</v>
      </c>
      <c r="C7" s="16">
        <f t="shared" si="0"/>
        <v>11.969999999999999</v>
      </c>
      <c r="D7" s="16">
        <f t="shared" si="1"/>
        <v>1.002219755826859</v>
      </c>
      <c r="E7" s="17">
        <f t="shared" si="2"/>
        <v>530.0708436625971</v>
      </c>
      <c r="F7" s="18"/>
      <c r="G7" s="19">
        <f t="shared" si="3"/>
        <v>530.0708436625971</v>
      </c>
      <c r="H7" s="22">
        <v>530</v>
      </c>
      <c r="I7" s="21">
        <f t="shared" si="4"/>
        <v>-0.07084366259709896</v>
      </c>
      <c r="J7" s="33"/>
    </row>
    <row r="8" spans="1:9" s="8" customFormat="1" ht="15">
      <c r="A8" s="4" t="s">
        <v>51</v>
      </c>
      <c r="B8" s="16">
        <v>50.599999999999994</v>
      </c>
      <c r="C8" s="16">
        <f t="shared" si="0"/>
        <v>48.06999999999999</v>
      </c>
      <c r="D8" s="16">
        <f t="shared" si="1"/>
        <v>4.024787273399926</v>
      </c>
      <c r="E8" s="17">
        <f t="shared" si="2"/>
        <v>2128.6971975656675</v>
      </c>
      <c r="F8" s="18"/>
      <c r="G8" s="19">
        <f t="shared" si="3"/>
        <v>2128.6971975656675</v>
      </c>
      <c r="H8" s="38">
        <v>2129</v>
      </c>
      <c r="I8" s="21">
        <f t="shared" si="4"/>
        <v>0.3028024343325342</v>
      </c>
    </row>
    <row r="9" spans="1:9" s="8" customFormat="1" ht="15">
      <c r="A9" s="4" t="s">
        <v>143</v>
      </c>
      <c r="B9" s="16">
        <v>33.8</v>
      </c>
      <c r="C9" s="16">
        <f t="shared" si="0"/>
        <v>32.10999999999999</v>
      </c>
      <c r="D9" s="16">
        <f t="shared" si="1"/>
        <v>2.688494265630781</v>
      </c>
      <c r="E9" s="17">
        <f t="shared" si="2"/>
        <v>1421.9360726822047</v>
      </c>
      <c r="F9" s="18"/>
      <c r="G9" s="19">
        <f t="shared" si="3"/>
        <v>1421.9360726822047</v>
      </c>
      <c r="H9" s="22">
        <v>1423</v>
      </c>
      <c r="I9" s="21">
        <f t="shared" si="4"/>
        <v>1.0639273177953328</v>
      </c>
    </row>
    <row r="10" spans="1:9" s="8" customFormat="1" ht="15">
      <c r="A10" s="4" t="s">
        <v>62</v>
      </c>
      <c r="B10" s="16">
        <v>30.700000000000003</v>
      </c>
      <c r="C10" s="16">
        <f t="shared" si="0"/>
        <v>29.165000000000003</v>
      </c>
      <c r="D10" s="16">
        <f t="shared" si="1"/>
        <v>2.4419163891971887</v>
      </c>
      <c r="E10" s="17">
        <f t="shared" si="2"/>
        <v>1291.5218174953757</v>
      </c>
      <c r="F10" s="18"/>
      <c r="G10" s="19">
        <f t="shared" si="3"/>
        <v>1291.5218174953757</v>
      </c>
      <c r="H10" s="22">
        <v>1292</v>
      </c>
      <c r="I10" s="21">
        <f t="shared" si="4"/>
        <v>0.47818250462432843</v>
      </c>
    </row>
    <row r="11" spans="1:9" s="8" customFormat="1" ht="15">
      <c r="A11" s="4" t="s">
        <v>188</v>
      </c>
      <c r="B11" s="39">
        <v>14.9</v>
      </c>
      <c r="C11" s="16">
        <f>B11*0.95</f>
        <v>14.155</v>
      </c>
      <c r="D11" s="16">
        <f>B11/$B$12*$D$12</f>
        <v>1.1851646318904923</v>
      </c>
      <c r="E11" s="17">
        <f>(C11+D11)*$E$1</f>
        <v>626.8298071883092</v>
      </c>
      <c r="F11" s="18"/>
      <c r="G11" s="19">
        <f t="shared" si="3"/>
        <v>626.8298071883092</v>
      </c>
      <c r="H11" s="22">
        <v>648</v>
      </c>
      <c r="I11" s="21">
        <f t="shared" si="4"/>
        <v>21.170192811690754</v>
      </c>
    </row>
    <row r="12" spans="1:9" s="8" customFormat="1" ht="15">
      <c r="A12" s="25"/>
      <c r="B12" s="26">
        <f>SUM(B4:B11)</f>
        <v>270.29999999999995</v>
      </c>
      <c r="C12" s="26">
        <f>SUM(C4:C11)</f>
        <v>256.7849999999999</v>
      </c>
      <c r="D12" s="26">
        <v>21.5</v>
      </c>
      <c r="E12" s="27"/>
      <c r="F12" s="28"/>
      <c r="G12" s="28"/>
      <c r="H12" s="28"/>
      <c r="I12" s="29"/>
    </row>
    <row r="13" ht="15">
      <c r="B13">
        <f>D12/B12</f>
        <v>0.07954125046244914</v>
      </c>
    </row>
    <row r="15" ht="23.25">
      <c r="A15" s="30"/>
    </row>
    <row r="16" ht="15">
      <c r="A16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8" customFormat="1" ht="21.75" customHeight="1">
      <c r="A1" s="9" t="s">
        <v>205</v>
      </c>
      <c r="B1" s="10">
        <v>41999</v>
      </c>
      <c r="C1" s="10"/>
      <c r="D1" s="11" t="s">
        <v>206</v>
      </c>
      <c r="E1" s="12">
        <v>70.45</v>
      </c>
      <c r="G1" s="8" t="s">
        <v>207</v>
      </c>
    </row>
    <row r="2" spans="1:2" s="8" customFormat="1" ht="23.25" customHeight="1">
      <c r="A2" s="33" t="s">
        <v>471</v>
      </c>
      <c r="B2" s="87"/>
    </row>
    <row r="3" spans="1:7" s="15" customFormat="1" ht="49.5" customHeight="1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155</v>
      </c>
      <c r="B4" s="20">
        <v>5.9</v>
      </c>
      <c r="C4" s="20">
        <f aca="true" t="shared" si="0" ref="C4:C10">B4/$B$11*$C$11</f>
        <v>0.5052868283814171</v>
      </c>
      <c r="D4" s="84">
        <f aca="true" t="shared" si="1" ref="D4:D9">B4+C4</f>
        <v>6.405286828381417</v>
      </c>
      <c r="E4" s="19">
        <f aca="true" t="shared" si="2" ref="E4:E9">D4*$E$1</f>
        <v>451.2524570594708</v>
      </c>
      <c r="F4" s="22">
        <f>412+39</f>
        <v>451</v>
      </c>
      <c r="G4" s="21">
        <f aca="true" t="shared" si="3" ref="G4:G9">F4-E4</f>
        <v>-0.25245705947082797</v>
      </c>
    </row>
    <row r="5" spans="1:7" s="8" customFormat="1" ht="15">
      <c r="A5" s="4" t="s">
        <v>473</v>
      </c>
      <c r="B5" s="20">
        <v>7.95</v>
      </c>
      <c r="C5" s="20">
        <f t="shared" si="0"/>
        <v>0.6808525907851297</v>
      </c>
      <c r="D5" s="84">
        <f t="shared" si="1"/>
        <v>8.63085259078513</v>
      </c>
      <c r="E5" s="19">
        <f t="shared" si="2"/>
        <v>608.0435650208125</v>
      </c>
      <c r="F5" s="22">
        <v>600</v>
      </c>
      <c r="G5" s="21">
        <f t="shared" si="3"/>
        <v>-8.04356502081248</v>
      </c>
    </row>
    <row r="6" spans="1:7" s="8" customFormat="1" ht="15">
      <c r="A6" s="103" t="s">
        <v>250</v>
      </c>
      <c r="B6" s="20">
        <v>9.95</v>
      </c>
      <c r="C6" s="20">
        <f t="shared" si="0"/>
        <v>0.8521362614228982</v>
      </c>
      <c r="D6" s="84">
        <f t="shared" si="1"/>
        <v>10.802136261422898</v>
      </c>
      <c r="E6" s="19">
        <f t="shared" si="2"/>
        <v>761.0104996172432</v>
      </c>
      <c r="F6" s="22">
        <f>695+66</f>
        <v>761</v>
      </c>
      <c r="G6" s="21">
        <f t="shared" si="3"/>
        <v>-0.010499617243226567</v>
      </c>
    </row>
    <row r="7" spans="1:8" s="8" customFormat="1" ht="15">
      <c r="A7" s="4" t="s">
        <v>474</v>
      </c>
      <c r="B7" s="20">
        <f>19.85-4.45</f>
        <v>15.400000000000002</v>
      </c>
      <c r="C7" s="20">
        <f t="shared" si="0"/>
        <v>1.3188842639108176</v>
      </c>
      <c r="D7" s="84">
        <f t="shared" si="1"/>
        <v>16.71888426391082</v>
      </c>
      <c r="E7" s="19">
        <f t="shared" si="2"/>
        <v>1177.8453963925174</v>
      </c>
      <c r="F7" s="98">
        <f>1386+132-340</f>
        <v>1178</v>
      </c>
      <c r="G7" s="21">
        <f t="shared" si="3"/>
        <v>0.15460360748261337</v>
      </c>
      <c r="H7" s="45" t="s">
        <v>498</v>
      </c>
    </row>
    <row r="8" spans="1:8" s="8" customFormat="1" ht="15">
      <c r="A8" s="4" t="s">
        <v>475</v>
      </c>
      <c r="B8" s="20">
        <v>9.95</v>
      </c>
      <c r="C8" s="20">
        <f t="shared" si="0"/>
        <v>0.8521362614228982</v>
      </c>
      <c r="D8" s="84">
        <f t="shared" si="1"/>
        <v>10.802136261422898</v>
      </c>
      <c r="E8" s="19">
        <f t="shared" si="2"/>
        <v>761.0104996172432</v>
      </c>
      <c r="F8" s="98">
        <f>695+66</f>
        <v>761</v>
      </c>
      <c r="G8" s="21">
        <f t="shared" si="3"/>
        <v>-0.010499617243226567</v>
      </c>
      <c r="H8" s="45"/>
    </row>
    <row r="9" spans="1:7" s="8" customFormat="1" ht="15">
      <c r="A9" s="4" t="s">
        <v>97</v>
      </c>
      <c r="B9" s="20">
        <v>32.9</v>
      </c>
      <c r="C9" s="20">
        <f t="shared" si="0"/>
        <v>2.817616381991292</v>
      </c>
      <c r="D9" s="84">
        <f t="shared" si="1"/>
        <v>35.71761638199129</v>
      </c>
      <c r="E9" s="19">
        <f t="shared" si="2"/>
        <v>2516.3060741112868</v>
      </c>
      <c r="F9" s="22">
        <f>2297+219</f>
        <v>2516</v>
      </c>
      <c r="G9" s="21">
        <f t="shared" si="3"/>
        <v>-0.30607411128676176</v>
      </c>
    </row>
    <row r="10" spans="1:7" s="8" customFormat="1" ht="15">
      <c r="A10" s="97" t="s">
        <v>224</v>
      </c>
      <c r="B10" s="20">
        <f>122.51+4.45</f>
        <v>126.96000000000001</v>
      </c>
      <c r="C10" s="20">
        <f t="shared" si="0"/>
        <v>10.873087412085546</v>
      </c>
      <c r="D10" s="85"/>
      <c r="E10" s="28"/>
      <c r="F10" s="28"/>
      <c r="G10" s="28"/>
    </row>
    <row r="11" spans="1:7" s="8" customFormat="1" ht="15">
      <c r="A11" s="25"/>
      <c r="B11" s="86">
        <f>SUM(B4:B10)</f>
        <v>209.01000000000002</v>
      </c>
      <c r="C11" s="86">
        <v>17.9</v>
      </c>
      <c r="D11" s="91"/>
      <c r="E11" s="28"/>
      <c r="F11" s="28"/>
      <c r="G11" s="28"/>
    </row>
    <row r="14" ht="15">
      <c r="A14" t="s">
        <v>449</v>
      </c>
    </row>
    <row r="15" spans="1:4" ht="31.5">
      <c r="A15" s="99" t="s">
        <v>155</v>
      </c>
      <c r="B15" s="105"/>
      <c r="C15" s="105"/>
      <c r="D15" s="105"/>
    </row>
    <row r="16" ht="15">
      <c r="A16" s="100" t="s">
        <v>472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8" customFormat="1" ht="21.75" customHeight="1">
      <c r="A1" s="9" t="s">
        <v>205</v>
      </c>
      <c r="B1" s="10">
        <v>42013</v>
      </c>
      <c r="C1" s="10"/>
      <c r="D1" s="11" t="s">
        <v>206</v>
      </c>
      <c r="E1" s="12">
        <v>70.45</v>
      </c>
      <c r="G1" s="8" t="s">
        <v>207</v>
      </c>
    </row>
    <row r="2" spans="1:2" s="8" customFormat="1" ht="23.25" customHeight="1">
      <c r="A2" s="33" t="s">
        <v>482</v>
      </c>
      <c r="B2" s="87"/>
    </row>
    <row r="3" spans="1:7" s="15" customFormat="1" ht="49.5" customHeight="1">
      <c r="A3" s="13" t="s">
        <v>208</v>
      </c>
      <c r="B3" s="14" t="s">
        <v>292</v>
      </c>
      <c r="C3" s="14" t="s">
        <v>293</v>
      </c>
      <c r="D3" s="13" t="s">
        <v>294</v>
      </c>
      <c r="E3" s="13" t="s">
        <v>214</v>
      </c>
      <c r="F3" s="13" t="s">
        <v>295</v>
      </c>
      <c r="G3" s="13" t="s">
        <v>296</v>
      </c>
    </row>
    <row r="4" spans="1:7" s="8" customFormat="1" ht="15">
      <c r="A4" s="4" t="s">
        <v>477</v>
      </c>
      <c r="B4" s="20">
        <v>10.8</v>
      </c>
      <c r="C4" s="20">
        <f aca="true" t="shared" si="0" ref="C4:C12">B4/$B$13*$C$13</f>
        <v>1.1650225927575892</v>
      </c>
      <c r="D4" s="84">
        <f aca="true" t="shared" si="1" ref="D4:D9">B4+C4</f>
        <v>11.96502259275759</v>
      </c>
      <c r="E4" s="19">
        <f aca="true" t="shared" si="2" ref="E4:E9">D4*$E$1</f>
        <v>842.9358416597722</v>
      </c>
      <c r="F4" s="22">
        <v>843</v>
      </c>
      <c r="G4" s="21">
        <f aca="true" t="shared" si="3" ref="G4:G9">F4-E4</f>
        <v>0.06415834022777744</v>
      </c>
    </row>
    <row r="5" spans="1:7" s="8" customFormat="1" ht="15">
      <c r="A5" s="4" t="s">
        <v>115</v>
      </c>
      <c r="B5" s="20">
        <v>21.8</v>
      </c>
      <c r="C5" s="20">
        <f t="shared" si="0"/>
        <v>2.3516196779736522</v>
      </c>
      <c r="D5" s="84">
        <f t="shared" si="1"/>
        <v>24.151619677973653</v>
      </c>
      <c r="E5" s="19">
        <f t="shared" si="2"/>
        <v>1701.481606313244</v>
      </c>
      <c r="F5" s="22">
        <v>1701</v>
      </c>
      <c r="G5" s="21">
        <f t="shared" si="3"/>
        <v>-0.48160631324390124</v>
      </c>
    </row>
    <row r="6" spans="1:7" s="8" customFormat="1" ht="15">
      <c r="A6" s="103" t="s">
        <v>478</v>
      </c>
      <c r="B6" s="20">
        <v>12.2</v>
      </c>
      <c r="C6" s="20">
        <f t="shared" si="0"/>
        <v>1.3160440399669064</v>
      </c>
      <c r="D6" s="84">
        <f t="shared" si="1"/>
        <v>13.516044039966905</v>
      </c>
      <c r="E6" s="19">
        <f t="shared" si="2"/>
        <v>952.2053026156685</v>
      </c>
      <c r="F6" s="22">
        <v>952</v>
      </c>
      <c r="G6" s="21">
        <f t="shared" si="3"/>
        <v>-0.20530261566852914</v>
      </c>
    </row>
    <row r="7" spans="1:8" s="8" customFormat="1" ht="15">
      <c r="A7" s="4" t="s">
        <v>200</v>
      </c>
      <c r="B7" s="20">
        <v>10.43</v>
      </c>
      <c r="C7" s="20">
        <f t="shared" si="0"/>
        <v>1.1251097817094124</v>
      </c>
      <c r="D7" s="84">
        <f t="shared" si="1"/>
        <v>11.555109781709412</v>
      </c>
      <c r="E7" s="19">
        <f t="shared" si="2"/>
        <v>814.057484121428</v>
      </c>
      <c r="F7" s="98">
        <v>806</v>
      </c>
      <c r="G7" s="21">
        <f t="shared" si="3"/>
        <v>-8.057484121428047</v>
      </c>
      <c r="H7" s="45"/>
    </row>
    <row r="8" spans="1:8" s="8" customFormat="1" ht="15">
      <c r="A8" s="4" t="s">
        <v>145</v>
      </c>
      <c r="B8" s="20">
        <v>22.5</v>
      </c>
      <c r="C8" s="20">
        <f t="shared" si="0"/>
        <v>2.4271304015783106</v>
      </c>
      <c r="D8" s="84">
        <f t="shared" si="1"/>
        <v>24.92713040157831</v>
      </c>
      <c r="E8" s="19">
        <f t="shared" si="2"/>
        <v>1756.116336791192</v>
      </c>
      <c r="F8" s="98">
        <v>1749</v>
      </c>
      <c r="G8" s="21">
        <f t="shared" si="3"/>
        <v>-7.116336791191998</v>
      </c>
      <c r="H8" s="45"/>
    </row>
    <row r="9" spans="1:7" s="8" customFormat="1" ht="15">
      <c r="A9" s="4" t="s">
        <v>479</v>
      </c>
      <c r="B9" s="20">
        <v>5.99</v>
      </c>
      <c r="C9" s="20">
        <f t="shared" si="0"/>
        <v>0.6461560491312927</v>
      </c>
      <c r="D9" s="84">
        <f t="shared" si="1"/>
        <v>6.6361560491312925</v>
      </c>
      <c r="E9" s="19">
        <f t="shared" si="2"/>
        <v>467.5171936612996</v>
      </c>
      <c r="F9" s="22">
        <v>468</v>
      </c>
      <c r="G9" s="21">
        <f t="shared" si="3"/>
        <v>0.48280633870041356</v>
      </c>
    </row>
    <row r="10" spans="1:7" s="8" customFormat="1" ht="15">
      <c r="A10" s="97" t="s">
        <v>480</v>
      </c>
      <c r="B10" s="20">
        <v>31.76</v>
      </c>
      <c r="C10" s="20">
        <f>B10/$B$13*$C$13</f>
        <v>3.4260294024056512</v>
      </c>
      <c r="D10" s="84">
        <f>B10+C10</f>
        <v>35.18602940240565</v>
      </c>
      <c r="E10" s="19">
        <f>D10*$E$1</f>
        <v>2478.8557713994783</v>
      </c>
      <c r="F10" s="98">
        <v>2479</v>
      </c>
      <c r="G10" s="21">
        <f>F10-E10</f>
        <v>0.14422860052172837</v>
      </c>
    </row>
    <row r="11" spans="1:7" s="8" customFormat="1" ht="15">
      <c r="A11" s="97" t="s">
        <v>354</v>
      </c>
      <c r="B11" s="20">
        <v>18.15</v>
      </c>
      <c r="C11" s="20">
        <f>B11/$B$13*$C$13</f>
        <v>1.957885190606504</v>
      </c>
      <c r="D11" s="84">
        <f>B11+C11</f>
        <v>20.107885190606503</v>
      </c>
      <c r="E11" s="19">
        <f>D11*$E$1</f>
        <v>1416.6005116782283</v>
      </c>
      <c r="F11" s="22">
        <v>1418</v>
      </c>
      <c r="G11" s="21">
        <f>F11-E11</f>
        <v>1.3994883217717415</v>
      </c>
    </row>
    <row r="12" spans="1:7" s="8" customFormat="1" ht="15">
      <c r="A12" s="97" t="s">
        <v>224</v>
      </c>
      <c r="B12" s="20">
        <v>180.63</v>
      </c>
      <c r="C12" s="20">
        <f t="shared" si="0"/>
        <v>19.48500286387068</v>
      </c>
      <c r="D12" s="85"/>
      <c r="E12" s="28"/>
      <c r="F12" s="28"/>
      <c r="G12" s="28"/>
    </row>
    <row r="13" spans="1:7" s="8" customFormat="1" ht="15">
      <c r="A13" s="25"/>
      <c r="B13" s="86">
        <f>SUM(B4:B12)</f>
        <v>314.26</v>
      </c>
      <c r="C13" s="86">
        <v>33.9</v>
      </c>
      <c r="D13" s="91"/>
      <c r="E13" s="28"/>
      <c r="F13" s="28"/>
      <c r="G13" s="28"/>
    </row>
    <row r="16" ht="15">
      <c r="A16" t="s">
        <v>449</v>
      </c>
    </row>
    <row r="17" spans="1:4" ht="31.5">
      <c r="A17" s="99" t="s">
        <v>477</v>
      </c>
      <c r="B17" s="105"/>
      <c r="C17" s="105"/>
      <c r="D17" s="105"/>
    </row>
    <row r="18" ht="15">
      <c r="A18" s="100" t="s">
        <v>481</v>
      </c>
    </row>
    <row r="22" ht="31.5">
      <c r="A22" s="50"/>
    </row>
    <row r="23" ht="31.5">
      <c r="A23" s="50"/>
    </row>
    <row r="24" ht="31.5">
      <c r="A24" s="50"/>
    </row>
    <row r="25" ht="31.5">
      <c r="A25" s="50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205</v>
      </c>
      <c r="B1" s="10">
        <v>42027</v>
      </c>
      <c r="C1" s="10"/>
      <c r="D1" s="10"/>
      <c r="E1" s="11" t="s">
        <v>206</v>
      </c>
      <c r="F1" s="106">
        <v>78.47</v>
      </c>
      <c r="G1" s="8" t="s">
        <v>207</v>
      </c>
    </row>
    <row r="2" s="8" customFormat="1" ht="23.25" customHeight="1">
      <c r="A2" s="33" t="s">
        <v>487</v>
      </c>
    </row>
    <row r="3" spans="1:8" s="15" customFormat="1" ht="60">
      <c r="A3" s="13" t="s">
        <v>208</v>
      </c>
      <c r="B3" s="14" t="s">
        <v>292</v>
      </c>
      <c r="C3" s="14" t="s">
        <v>488</v>
      </c>
      <c r="D3" s="14" t="s">
        <v>293</v>
      </c>
      <c r="E3" s="13" t="s">
        <v>294</v>
      </c>
      <c r="F3" s="13" t="s">
        <v>214</v>
      </c>
      <c r="G3" s="13" t="s">
        <v>295</v>
      </c>
      <c r="H3" s="13" t="s">
        <v>296</v>
      </c>
    </row>
    <row r="4" spans="1:9" s="8" customFormat="1" ht="15">
      <c r="A4" s="4" t="s">
        <v>414</v>
      </c>
      <c r="B4" s="22">
        <v>20.67</v>
      </c>
      <c r="C4" s="22">
        <f>B4*0.1</f>
        <v>2.067</v>
      </c>
      <c r="D4" s="84">
        <f>B4/$B$17*$D$17</f>
        <v>1.9709524077407743</v>
      </c>
      <c r="E4" s="84">
        <f>B4+D4+C4</f>
        <v>24.707952407740777</v>
      </c>
      <c r="F4" s="19">
        <f aca="true" t="shared" si="0" ref="F4:F15">E4*$F$1</f>
        <v>1938.8330254354187</v>
      </c>
      <c r="G4" s="22">
        <f>1812+32+94</f>
        <v>1938</v>
      </c>
      <c r="H4" s="21">
        <f aca="true" t="shared" si="1" ref="H4:H15">G4-F4</f>
        <v>-0.8330254354186764</v>
      </c>
      <c r="I4" s="112" t="s">
        <v>506</v>
      </c>
    </row>
    <row r="5" spans="1:8" s="8" customFormat="1" ht="15">
      <c r="A5" s="3" t="s">
        <v>453</v>
      </c>
      <c r="B5" s="22">
        <v>30.33</v>
      </c>
      <c r="C5" s="22">
        <f aca="true" t="shared" si="2" ref="C5:C15">B5*0.1</f>
        <v>3.033</v>
      </c>
      <c r="D5" s="84">
        <f aca="true" t="shared" si="3" ref="D5:D15">B5/$B$17*$D$17</f>
        <v>2.8920651440144014</v>
      </c>
      <c r="E5" s="84">
        <f aca="true" t="shared" si="4" ref="E5:E15">B5+D5+C5</f>
        <v>36.2550651440144</v>
      </c>
      <c r="F5" s="19">
        <f t="shared" si="0"/>
        <v>2844.93496185081</v>
      </c>
      <c r="G5" s="22">
        <f>2659+159</f>
        <v>2818</v>
      </c>
      <c r="H5" s="21">
        <f t="shared" si="1"/>
        <v>-26.93496185080994</v>
      </c>
    </row>
    <row r="6" spans="1:8" s="8" customFormat="1" ht="15">
      <c r="A6" s="4" t="s">
        <v>489</v>
      </c>
      <c r="B6" s="22">
        <v>6.25</v>
      </c>
      <c r="C6" s="22">
        <f t="shared" si="2"/>
        <v>0.625</v>
      </c>
      <c r="D6" s="84">
        <f t="shared" si="3"/>
        <v>0.5959580333033303</v>
      </c>
      <c r="E6" s="84">
        <f t="shared" si="4"/>
        <v>7.47095803330333</v>
      </c>
      <c r="F6" s="19">
        <f t="shared" si="0"/>
        <v>586.2460768733123</v>
      </c>
      <c r="G6" s="22">
        <f>548+38</f>
        <v>586</v>
      </c>
      <c r="H6" s="21">
        <f t="shared" si="1"/>
        <v>-0.24607687331229045</v>
      </c>
    </row>
    <row r="7" spans="1:8" s="8" customFormat="1" ht="15">
      <c r="A7" s="4" t="s">
        <v>490</v>
      </c>
      <c r="B7" s="22">
        <v>27.5</v>
      </c>
      <c r="C7" s="22">
        <f t="shared" si="2"/>
        <v>2.75</v>
      </c>
      <c r="D7" s="84">
        <f t="shared" si="3"/>
        <v>2.622215346534653</v>
      </c>
      <c r="E7" s="84">
        <f t="shared" si="4"/>
        <v>32.87221534653465</v>
      </c>
      <c r="F7" s="19">
        <f t="shared" si="0"/>
        <v>2579.482738242574</v>
      </c>
      <c r="G7" s="22">
        <f>2411+168</f>
        <v>2579</v>
      </c>
      <c r="H7" s="21">
        <f t="shared" si="1"/>
        <v>-0.4827382425742144</v>
      </c>
    </row>
    <row r="8" spans="1:8" s="8" customFormat="1" ht="15">
      <c r="A8" s="4" t="s">
        <v>491</v>
      </c>
      <c r="B8" s="22">
        <v>10.17</v>
      </c>
      <c r="C8" s="22">
        <f t="shared" si="2"/>
        <v>1.0170000000000001</v>
      </c>
      <c r="D8" s="84">
        <f t="shared" si="3"/>
        <v>0.9697429117911791</v>
      </c>
      <c r="E8" s="84">
        <f t="shared" si="4"/>
        <v>12.156742911791179</v>
      </c>
      <c r="F8" s="19">
        <f t="shared" si="0"/>
        <v>953.9396162882538</v>
      </c>
      <c r="G8" s="22">
        <f>892+62</f>
        <v>954</v>
      </c>
      <c r="H8" s="21">
        <f t="shared" si="1"/>
        <v>0.060383711746226254</v>
      </c>
    </row>
    <row r="9" spans="1:8" s="8" customFormat="1" ht="15">
      <c r="A9" s="3" t="s">
        <v>492</v>
      </c>
      <c r="B9" s="22">
        <v>14.08</v>
      </c>
      <c r="C9" s="22">
        <f t="shared" si="2"/>
        <v>1.4080000000000001</v>
      </c>
      <c r="D9" s="84">
        <f t="shared" si="3"/>
        <v>1.3425742574257424</v>
      </c>
      <c r="E9" s="84">
        <f t="shared" si="4"/>
        <v>16.83057425742574</v>
      </c>
      <c r="F9" s="19">
        <f t="shared" si="0"/>
        <v>1320.695161980198</v>
      </c>
      <c r="G9" s="22">
        <f>1234+87</f>
        <v>1321</v>
      </c>
      <c r="H9" s="21">
        <f t="shared" si="1"/>
        <v>0.3048380198019913</v>
      </c>
    </row>
    <row r="10" spans="1:8" s="8" customFormat="1" ht="15">
      <c r="A10" s="4" t="s">
        <v>493</v>
      </c>
      <c r="B10" s="22">
        <v>16.58</v>
      </c>
      <c r="C10" s="22">
        <f t="shared" si="2"/>
        <v>1.658</v>
      </c>
      <c r="D10" s="84">
        <f t="shared" si="3"/>
        <v>1.5809574707470746</v>
      </c>
      <c r="E10" s="84">
        <f t="shared" si="4"/>
        <v>19.818957470747073</v>
      </c>
      <c r="F10" s="19">
        <f t="shared" si="0"/>
        <v>1555.1935927295228</v>
      </c>
      <c r="G10" s="22">
        <f>1454+101</f>
        <v>1555</v>
      </c>
      <c r="H10" s="21">
        <f t="shared" si="1"/>
        <v>-0.1935927295228339</v>
      </c>
    </row>
    <row r="11" spans="1:8" s="8" customFormat="1" ht="15">
      <c r="A11" s="4" t="s">
        <v>494</v>
      </c>
      <c r="B11" s="22">
        <v>121.2</v>
      </c>
      <c r="C11" s="22">
        <f t="shared" si="2"/>
        <v>12.120000000000001</v>
      </c>
      <c r="D11" s="84">
        <f t="shared" si="3"/>
        <v>11.556818181818182</v>
      </c>
      <c r="E11" s="84">
        <f t="shared" si="4"/>
        <v>144.87681818181818</v>
      </c>
      <c r="F11" s="19">
        <f t="shared" si="0"/>
        <v>11368.483922727273</v>
      </c>
      <c r="G11" s="22">
        <v>11200</v>
      </c>
      <c r="H11" s="21">
        <f t="shared" si="1"/>
        <v>-168.48392272727324</v>
      </c>
    </row>
    <row r="12" spans="1:8" s="8" customFormat="1" ht="15">
      <c r="A12" s="3" t="s">
        <v>421</v>
      </c>
      <c r="B12" s="108">
        <v>8.29</v>
      </c>
      <c r="C12" s="22">
        <f t="shared" si="2"/>
        <v>0.829</v>
      </c>
      <c r="D12" s="84">
        <f t="shared" si="3"/>
        <v>0.7904787353735373</v>
      </c>
      <c r="E12" s="84">
        <f t="shared" si="4"/>
        <v>9.909478735373536</v>
      </c>
      <c r="F12" s="19">
        <f t="shared" si="0"/>
        <v>777.5967963647614</v>
      </c>
      <c r="G12" s="22">
        <f>721+51</f>
        <v>772</v>
      </c>
      <c r="H12" s="21">
        <f t="shared" si="1"/>
        <v>-5.596796364761417</v>
      </c>
    </row>
    <row r="13" spans="1:8" s="8" customFormat="1" ht="15">
      <c r="A13" s="4" t="s">
        <v>495</v>
      </c>
      <c r="B13" s="22">
        <v>18.25</v>
      </c>
      <c r="C13" s="22">
        <f t="shared" si="2"/>
        <v>1.8250000000000002</v>
      </c>
      <c r="D13" s="84">
        <f t="shared" si="3"/>
        <v>1.7401974572457244</v>
      </c>
      <c r="E13" s="84">
        <f t="shared" si="4"/>
        <v>21.815197457245723</v>
      </c>
      <c r="F13" s="19">
        <f t="shared" si="0"/>
        <v>1711.8385444700718</v>
      </c>
      <c r="G13" s="22">
        <f>1600+112</f>
        <v>1712</v>
      </c>
      <c r="H13" s="21">
        <f t="shared" si="1"/>
        <v>0.16145552992816192</v>
      </c>
    </row>
    <row r="14" spans="1:8" s="8" customFormat="1" ht="15">
      <c r="A14" s="4" t="s">
        <v>496</v>
      </c>
      <c r="B14" s="22">
        <v>12.42</v>
      </c>
      <c r="C14" s="22">
        <f t="shared" si="2"/>
        <v>1.242</v>
      </c>
      <c r="D14" s="84">
        <f t="shared" si="3"/>
        <v>1.184287803780378</v>
      </c>
      <c r="E14" s="84">
        <f t="shared" si="4"/>
        <v>14.846287803780378</v>
      </c>
      <c r="F14" s="19">
        <f t="shared" si="0"/>
        <v>1164.9882039626461</v>
      </c>
      <c r="G14" s="109">
        <f>1089+76</f>
        <v>1165</v>
      </c>
      <c r="H14" s="21">
        <f t="shared" si="1"/>
        <v>0.011796037353860811</v>
      </c>
    </row>
    <row r="15" spans="1:9" s="8" customFormat="1" ht="15">
      <c r="A15" s="4" t="s">
        <v>418</v>
      </c>
      <c r="B15" s="22">
        <v>12.38</v>
      </c>
      <c r="C15" s="22">
        <f t="shared" si="2"/>
        <v>1.2380000000000002</v>
      </c>
      <c r="D15" s="84">
        <f t="shared" si="3"/>
        <v>1.1804736723672367</v>
      </c>
      <c r="E15" s="84">
        <f t="shared" si="4"/>
        <v>14.798473672367237</v>
      </c>
      <c r="F15" s="19">
        <f t="shared" si="0"/>
        <v>1161.2362290706571</v>
      </c>
      <c r="G15" s="22">
        <f>465</f>
        <v>465</v>
      </c>
      <c r="H15" s="21">
        <f t="shared" si="1"/>
        <v>-696.2362290706571</v>
      </c>
      <c r="I15" s="45"/>
    </row>
    <row r="16" spans="1:9" s="8" customFormat="1" ht="15">
      <c r="A16" s="4" t="s">
        <v>224</v>
      </c>
      <c r="B16" s="22">
        <v>57.4</v>
      </c>
      <c r="C16" s="85"/>
      <c r="D16" s="84">
        <f>B16/$B$17*$D$17</f>
        <v>5.473278577857786</v>
      </c>
      <c r="E16" s="85"/>
      <c r="F16" s="28"/>
      <c r="G16" s="28"/>
      <c r="H16" s="28"/>
      <c r="I16" s="32"/>
    </row>
    <row r="17" spans="1:8" s="8" customFormat="1" ht="15">
      <c r="A17" s="25"/>
      <c r="B17" s="86">
        <f>SUM(B4:B16)</f>
        <v>355.52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486</v>
      </c>
    </row>
    <row r="20" ht="31.5">
      <c r="A20" s="99" t="s">
        <v>418</v>
      </c>
    </row>
    <row r="21" ht="15">
      <c r="A21" s="100" t="s">
        <v>456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205</v>
      </c>
      <c r="B1" s="10">
        <v>42033</v>
      </c>
      <c r="C1" s="10"/>
      <c r="D1" s="10"/>
      <c r="E1" s="11" t="s">
        <v>206</v>
      </c>
      <c r="F1" s="106">
        <v>78.94</v>
      </c>
      <c r="G1" s="8" t="s">
        <v>207</v>
      </c>
    </row>
    <row r="2" s="8" customFormat="1" ht="23.25" customHeight="1">
      <c r="A2" s="33" t="s">
        <v>500</v>
      </c>
    </row>
    <row r="3" spans="1:8" s="15" customFormat="1" ht="60">
      <c r="A3" s="13" t="s">
        <v>208</v>
      </c>
      <c r="B3" s="14" t="s">
        <v>292</v>
      </c>
      <c r="C3" s="14" t="s">
        <v>488</v>
      </c>
      <c r="D3" s="14" t="s">
        <v>293</v>
      </c>
      <c r="E3" s="13" t="s">
        <v>294</v>
      </c>
      <c r="F3" s="13" t="s">
        <v>214</v>
      </c>
      <c r="G3" s="13" t="s">
        <v>295</v>
      </c>
      <c r="H3" s="13" t="s">
        <v>296</v>
      </c>
    </row>
    <row r="4" spans="1:8" s="8" customFormat="1" ht="15">
      <c r="A4" s="4" t="s">
        <v>418</v>
      </c>
      <c r="B4" s="22">
        <v>57.9</v>
      </c>
      <c r="C4" s="22">
        <f>B4*0.1</f>
        <v>5.79</v>
      </c>
      <c r="D4" s="84">
        <f aca="true" t="shared" si="0" ref="D4:D15">B4/$B$16*$D$16</f>
        <v>5.462264150943398</v>
      </c>
      <c r="E4" s="84">
        <f>B4+D4+C4</f>
        <v>69.1522641509434</v>
      </c>
      <c r="F4" s="19">
        <f aca="true" t="shared" si="1" ref="F4:F14">E4*$F$1</f>
        <v>5458.879732075471</v>
      </c>
      <c r="G4" s="111"/>
      <c r="H4" s="21">
        <f aca="true" t="shared" si="2" ref="H4:H14">G4-F4</f>
        <v>-5458.879732075471</v>
      </c>
    </row>
    <row r="5" spans="1:8" s="8" customFormat="1" ht="15">
      <c r="A5" s="3" t="s">
        <v>173</v>
      </c>
      <c r="B5" s="22">
        <v>7.42</v>
      </c>
      <c r="C5" s="22">
        <f aca="true" t="shared" si="3" ref="C5:C14">B5*0.1</f>
        <v>0.742</v>
      </c>
      <c r="D5" s="84">
        <f t="shared" si="0"/>
        <v>0.7000000000000001</v>
      </c>
      <c r="E5" s="84">
        <f aca="true" t="shared" si="4" ref="E5:E14">B5+D5+C5</f>
        <v>8.861999999999998</v>
      </c>
      <c r="F5" s="19">
        <f t="shared" si="1"/>
        <v>699.5662799999999</v>
      </c>
      <c r="G5" s="21">
        <f>690+10</f>
        <v>700</v>
      </c>
      <c r="H5" s="21">
        <f t="shared" si="2"/>
        <v>0.4337200000001076</v>
      </c>
    </row>
    <row r="6" spans="1:8" s="8" customFormat="1" ht="15">
      <c r="A6" s="4" t="s">
        <v>503</v>
      </c>
      <c r="B6" s="22">
        <v>16.58</v>
      </c>
      <c r="C6" s="22">
        <f t="shared" si="3"/>
        <v>1.658</v>
      </c>
      <c r="D6" s="84">
        <f t="shared" si="0"/>
        <v>1.5641509433962266</v>
      </c>
      <c r="E6" s="84">
        <f t="shared" si="4"/>
        <v>19.802150943396228</v>
      </c>
      <c r="F6" s="19">
        <f t="shared" si="1"/>
        <v>1563.1817954716983</v>
      </c>
      <c r="G6" s="21">
        <v>1540</v>
      </c>
      <c r="H6" s="21">
        <f t="shared" si="2"/>
        <v>-23.18179547169825</v>
      </c>
    </row>
    <row r="7" spans="1:8" s="8" customFormat="1" ht="15">
      <c r="A7" s="4" t="s">
        <v>115</v>
      </c>
      <c r="B7" s="22">
        <v>8.25</v>
      </c>
      <c r="C7" s="22">
        <f t="shared" si="3"/>
        <v>0.8250000000000001</v>
      </c>
      <c r="D7" s="84">
        <f t="shared" si="0"/>
        <v>0.778301886792453</v>
      </c>
      <c r="E7" s="84">
        <f t="shared" si="4"/>
        <v>9.853301886792453</v>
      </c>
      <c r="F7" s="19">
        <f t="shared" si="1"/>
        <v>777.8196509433963</v>
      </c>
      <c r="G7" s="21">
        <f>766+12</f>
        <v>778</v>
      </c>
      <c r="H7" s="21">
        <f t="shared" si="2"/>
        <v>0.18034905660374534</v>
      </c>
    </row>
    <row r="8" spans="1:8" s="8" customFormat="1" ht="15">
      <c r="A8" s="4" t="s">
        <v>79</v>
      </c>
      <c r="B8" s="22">
        <v>14.5</v>
      </c>
      <c r="C8" s="22">
        <f t="shared" si="3"/>
        <v>1.4500000000000002</v>
      </c>
      <c r="D8" s="84">
        <f t="shared" si="0"/>
        <v>1.3679245283018873</v>
      </c>
      <c r="E8" s="84">
        <f t="shared" si="4"/>
        <v>17.317924528301887</v>
      </c>
      <c r="F8" s="19">
        <f t="shared" si="1"/>
        <v>1367.076962264151</v>
      </c>
      <c r="G8" s="21">
        <f>1326+21+22</f>
        <v>1369</v>
      </c>
      <c r="H8" s="21">
        <f t="shared" si="2"/>
        <v>1.9230377358489932</v>
      </c>
    </row>
    <row r="9" spans="1:8" s="8" customFormat="1" ht="15">
      <c r="A9" s="3" t="s">
        <v>501</v>
      </c>
      <c r="B9" s="22">
        <v>10.17</v>
      </c>
      <c r="C9" s="22">
        <f t="shared" si="3"/>
        <v>1.0170000000000001</v>
      </c>
      <c r="D9" s="84">
        <f t="shared" si="0"/>
        <v>0.9594339622641511</v>
      </c>
      <c r="E9" s="84">
        <f t="shared" si="4"/>
        <v>12.146433962264151</v>
      </c>
      <c r="F9" s="19">
        <f t="shared" si="1"/>
        <v>958.839496981132</v>
      </c>
      <c r="G9" s="21">
        <f>945+14</f>
        <v>959</v>
      </c>
      <c r="H9" s="21">
        <f t="shared" si="2"/>
        <v>0.1605030188679848</v>
      </c>
    </row>
    <row r="10" spans="1:8" s="8" customFormat="1" ht="15">
      <c r="A10" s="4" t="s">
        <v>494</v>
      </c>
      <c r="B10" s="22">
        <v>69.77</v>
      </c>
      <c r="C10" s="22">
        <f t="shared" si="3"/>
        <v>6.977</v>
      </c>
      <c r="D10" s="84">
        <f t="shared" si="0"/>
        <v>6.582075471698114</v>
      </c>
      <c r="E10" s="84">
        <f t="shared" si="4"/>
        <v>83.32907547169812</v>
      </c>
      <c r="F10" s="19">
        <f t="shared" si="1"/>
        <v>6577.9972177358495</v>
      </c>
      <c r="G10" s="21">
        <f>6000+746</f>
        <v>6746</v>
      </c>
      <c r="H10" s="21">
        <f t="shared" si="2"/>
        <v>168.00278226415048</v>
      </c>
    </row>
    <row r="11" spans="1:8" s="8" customFormat="1" ht="15">
      <c r="A11" s="4" t="s">
        <v>504</v>
      </c>
      <c r="B11" s="22">
        <v>15.07</v>
      </c>
      <c r="C11" s="22">
        <f t="shared" si="3"/>
        <v>1.5070000000000001</v>
      </c>
      <c r="D11" s="84">
        <f t="shared" si="0"/>
        <v>1.4216981132075475</v>
      </c>
      <c r="E11" s="84">
        <f t="shared" si="4"/>
        <v>17.99869811320755</v>
      </c>
      <c r="F11" s="19">
        <f t="shared" si="1"/>
        <v>1420.817229056604</v>
      </c>
      <c r="G11" s="21">
        <f>1400+21</f>
        <v>1421</v>
      </c>
      <c r="H11" s="21">
        <f t="shared" si="2"/>
        <v>0.18277094339600808</v>
      </c>
    </row>
    <row r="12" spans="1:8" s="8" customFormat="1" ht="15">
      <c r="A12" s="3" t="s">
        <v>181</v>
      </c>
      <c r="B12" s="108">
        <v>84.26</v>
      </c>
      <c r="C12" s="22">
        <f t="shared" si="3"/>
        <v>8.426</v>
      </c>
      <c r="D12" s="84">
        <f t="shared" si="0"/>
        <v>7.949056603773587</v>
      </c>
      <c r="E12" s="84">
        <f t="shared" si="4"/>
        <v>100.63505660377359</v>
      </c>
      <c r="F12" s="19">
        <f t="shared" si="1"/>
        <v>7944.131368301887</v>
      </c>
      <c r="G12" s="21">
        <f>7828+116</f>
        <v>7944</v>
      </c>
      <c r="H12" s="21">
        <f t="shared" si="2"/>
        <v>-0.13136830188705062</v>
      </c>
    </row>
    <row r="13" spans="1:8" s="8" customFormat="1" ht="15">
      <c r="A13" s="4" t="s">
        <v>41</v>
      </c>
      <c r="B13" s="22">
        <v>24.52</v>
      </c>
      <c r="C13" s="22">
        <f t="shared" si="3"/>
        <v>2.452</v>
      </c>
      <c r="D13" s="84">
        <f t="shared" si="0"/>
        <v>2.3132075471698115</v>
      </c>
      <c r="E13" s="84">
        <f t="shared" si="4"/>
        <v>29.28520754716981</v>
      </c>
      <c r="F13" s="19">
        <f t="shared" si="1"/>
        <v>2311.774283773585</v>
      </c>
      <c r="G13" s="21">
        <f>2272+34</f>
        <v>2306</v>
      </c>
      <c r="H13" s="21">
        <f t="shared" si="2"/>
        <v>-5.774283773585012</v>
      </c>
    </row>
    <row r="14" spans="1:8" s="8" customFormat="1" ht="15">
      <c r="A14" s="4" t="s">
        <v>8</v>
      </c>
      <c r="B14" s="22">
        <v>34.5</v>
      </c>
      <c r="C14" s="22">
        <f t="shared" si="3"/>
        <v>3.45</v>
      </c>
      <c r="D14" s="84">
        <f t="shared" si="0"/>
        <v>3.254716981132076</v>
      </c>
      <c r="E14" s="84">
        <f t="shared" si="4"/>
        <v>41.20471698113208</v>
      </c>
      <c r="F14" s="19">
        <f t="shared" si="1"/>
        <v>3252.7003584905665</v>
      </c>
      <c r="G14" s="21">
        <f>3205+48</f>
        <v>3253</v>
      </c>
      <c r="H14" s="21">
        <f t="shared" si="2"/>
        <v>0.2996415094335134</v>
      </c>
    </row>
    <row r="15" spans="1:9" s="8" customFormat="1" ht="15">
      <c r="A15" s="4" t="s">
        <v>224</v>
      </c>
      <c r="B15" s="22">
        <v>16.4</v>
      </c>
      <c r="C15" s="85"/>
      <c r="D15" s="84">
        <f t="shared" si="0"/>
        <v>1.5471698113207548</v>
      </c>
      <c r="E15" s="85"/>
      <c r="F15" s="28"/>
      <c r="G15" s="28"/>
      <c r="H15" s="28"/>
      <c r="I15" s="32"/>
    </row>
    <row r="16" spans="1:8" s="8" customFormat="1" ht="15">
      <c r="A16" s="25"/>
      <c r="B16" s="86">
        <f>SUM(B4:B15)</f>
        <v>359.3399999999999</v>
      </c>
      <c r="C16" s="86"/>
      <c r="D16" s="86">
        <v>33.9</v>
      </c>
      <c r="E16" s="85"/>
      <c r="F16" s="28"/>
      <c r="G16" s="28"/>
      <c r="H16" s="28"/>
    </row>
    <row r="18" ht="28.5">
      <c r="A18" s="107" t="s">
        <v>486</v>
      </c>
    </row>
    <row r="19" ht="31.5">
      <c r="A19" s="99" t="s">
        <v>501</v>
      </c>
    </row>
    <row r="20" ht="15">
      <c r="A20" s="110" t="s">
        <v>502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8" customFormat="1" ht="21.75" customHeight="1">
      <c r="A1" s="9" t="s">
        <v>205</v>
      </c>
      <c r="B1" s="10">
        <v>42041</v>
      </c>
      <c r="C1" s="10"/>
      <c r="D1" s="10"/>
      <c r="E1" s="11" t="s">
        <v>206</v>
      </c>
      <c r="F1" s="106">
        <v>77.27</v>
      </c>
      <c r="G1" s="8" t="s">
        <v>207</v>
      </c>
    </row>
    <row r="2" s="8" customFormat="1" ht="23.25" customHeight="1">
      <c r="A2" s="33" t="s">
        <v>507</v>
      </c>
    </row>
    <row r="3" spans="1:8" s="15" customFormat="1" ht="60">
      <c r="A3" s="13" t="s">
        <v>208</v>
      </c>
      <c r="B3" s="14" t="s">
        <v>292</v>
      </c>
      <c r="C3" s="14" t="s">
        <v>488</v>
      </c>
      <c r="D3" s="14" t="s">
        <v>293</v>
      </c>
      <c r="E3" s="13" t="s">
        <v>294</v>
      </c>
      <c r="F3" s="13" t="s">
        <v>214</v>
      </c>
      <c r="G3" s="13" t="s">
        <v>295</v>
      </c>
      <c r="H3" s="13" t="s">
        <v>296</v>
      </c>
    </row>
    <row r="4" spans="1:8" s="8" customFormat="1" ht="15">
      <c r="A4" s="3" t="s">
        <v>95</v>
      </c>
      <c r="B4" s="22">
        <v>6.25</v>
      </c>
      <c r="C4" s="22">
        <f aca="true" t="shared" si="0" ref="C4:C15">B4*0.1</f>
        <v>0.625</v>
      </c>
      <c r="D4" s="84">
        <f aca="true" t="shared" si="1" ref="D4:D16">B4/$B$17*$D$17</f>
        <v>0.6325004477879275</v>
      </c>
      <c r="E4" s="84">
        <f aca="true" t="shared" si="2" ref="E4:E15">B4+D4+C4</f>
        <v>7.507500447787928</v>
      </c>
      <c r="F4" s="19">
        <f aca="true" t="shared" si="3" ref="F4:F15">E4*$F$1</f>
        <v>580.1045596005731</v>
      </c>
      <c r="G4" s="21">
        <f>560+20</f>
        <v>580</v>
      </c>
      <c r="H4" s="21">
        <f aca="true" t="shared" si="4" ref="H4:H15">G4-F4</f>
        <v>-0.10455960057311131</v>
      </c>
    </row>
    <row r="5" spans="1:8" s="8" customFormat="1" ht="15">
      <c r="A5" s="4" t="s">
        <v>508</v>
      </c>
      <c r="B5" s="22">
        <v>9.92</v>
      </c>
      <c r="C5" s="22">
        <f t="shared" si="0"/>
        <v>0.992</v>
      </c>
      <c r="D5" s="84">
        <f t="shared" si="1"/>
        <v>1.0039047107289987</v>
      </c>
      <c r="E5" s="84">
        <f t="shared" si="2"/>
        <v>11.915904710728999</v>
      </c>
      <c r="F5" s="19">
        <f t="shared" si="3"/>
        <v>920.7419569980297</v>
      </c>
      <c r="G5" s="21">
        <v>920</v>
      </c>
      <c r="H5" s="21">
        <f t="shared" si="4"/>
        <v>-0.7419569980296501</v>
      </c>
    </row>
    <row r="6" spans="1:8" s="8" customFormat="1" ht="15">
      <c r="A6" s="4" t="s">
        <v>509</v>
      </c>
      <c r="B6" s="22">
        <v>15.67</v>
      </c>
      <c r="C6" s="22">
        <f t="shared" si="0"/>
        <v>1.5670000000000002</v>
      </c>
      <c r="D6" s="84">
        <f t="shared" si="1"/>
        <v>1.585805122693892</v>
      </c>
      <c r="E6" s="84">
        <f t="shared" si="2"/>
        <v>18.822805122693893</v>
      </c>
      <c r="F6" s="19">
        <f t="shared" si="3"/>
        <v>1454.438151830557</v>
      </c>
      <c r="G6" s="21">
        <f>1453+10</f>
        <v>1463</v>
      </c>
      <c r="H6" s="21">
        <f t="shared" si="4"/>
        <v>8.56184816944301</v>
      </c>
    </row>
    <row r="7" spans="1:8" s="8" customFormat="1" ht="15">
      <c r="A7" s="4" t="s">
        <v>510</v>
      </c>
      <c r="B7" s="22">
        <v>10.42</v>
      </c>
      <c r="C7" s="22">
        <f t="shared" si="0"/>
        <v>1.042</v>
      </c>
      <c r="D7" s="84">
        <f t="shared" si="1"/>
        <v>1.054504746552033</v>
      </c>
      <c r="E7" s="84">
        <f t="shared" si="2"/>
        <v>12.516504746552032</v>
      </c>
      <c r="F7" s="19">
        <f t="shared" si="3"/>
        <v>967.1503217660754</v>
      </c>
      <c r="G7" s="21">
        <v>966</v>
      </c>
      <c r="H7" s="21">
        <f t="shared" si="4"/>
        <v>-1.1503217660754217</v>
      </c>
    </row>
    <row r="8" spans="1:8" s="8" customFormat="1" ht="15">
      <c r="A8" s="3" t="s">
        <v>511</v>
      </c>
      <c r="B8" s="22">
        <v>11.58</v>
      </c>
      <c r="C8" s="22">
        <f t="shared" si="0"/>
        <v>1.1580000000000001</v>
      </c>
      <c r="D8" s="84">
        <f t="shared" si="1"/>
        <v>1.1718968296614722</v>
      </c>
      <c r="E8" s="84">
        <f t="shared" si="2"/>
        <v>13.909896829661472</v>
      </c>
      <c r="F8" s="19">
        <f t="shared" si="3"/>
        <v>1074.817728027942</v>
      </c>
      <c r="G8" s="21">
        <v>1073</v>
      </c>
      <c r="H8" s="21">
        <f t="shared" si="4"/>
        <v>-1.8177280279419392</v>
      </c>
    </row>
    <row r="9" spans="1:8" s="8" customFormat="1" ht="15">
      <c r="A9" s="4" t="s">
        <v>155</v>
      </c>
      <c r="B9" s="22">
        <v>4.12</v>
      </c>
      <c r="C9" s="22">
        <f>B9*0.1</f>
        <v>0.41200000000000003</v>
      </c>
      <c r="D9" s="84">
        <f t="shared" si="1"/>
        <v>0.41694429518180187</v>
      </c>
      <c r="E9" s="84">
        <f>B9+D9+C9</f>
        <v>4.948944295181802</v>
      </c>
      <c r="F9" s="19">
        <f>E9*$F$1</f>
        <v>382.4049256886978</v>
      </c>
      <c r="G9" s="21">
        <v>382</v>
      </c>
      <c r="H9" s="21">
        <f>G9-F9</f>
        <v>-0.40492568869780143</v>
      </c>
    </row>
    <row r="10" spans="1:8" s="8" customFormat="1" ht="15">
      <c r="A10" s="4" t="s">
        <v>512</v>
      </c>
      <c r="B10" s="22">
        <v>27.75</v>
      </c>
      <c r="C10" s="22">
        <f>B10*0.1</f>
        <v>2.7750000000000004</v>
      </c>
      <c r="D10" s="84">
        <f t="shared" si="1"/>
        <v>2.8083019881783984</v>
      </c>
      <c r="E10" s="84">
        <f>B10+D10+C10</f>
        <v>33.3333019881784</v>
      </c>
      <c r="F10" s="19">
        <f>E10*$F$1</f>
        <v>2575.6642446265446</v>
      </c>
      <c r="G10" s="21">
        <v>2572</v>
      </c>
      <c r="H10" s="21">
        <f>G10-F10</f>
        <v>-3.664244626544587</v>
      </c>
    </row>
    <row r="11" spans="1:8" s="8" customFormat="1" ht="15">
      <c r="A11" s="4" t="s">
        <v>495</v>
      </c>
      <c r="B11" s="22">
        <v>8.25</v>
      </c>
      <c r="C11" s="22">
        <f>B11*0.1</f>
        <v>0.8250000000000001</v>
      </c>
      <c r="D11" s="84">
        <f t="shared" si="1"/>
        <v>0.8349005910800644</v>
      </c>
      <c r="E11" s="84">
        <f>B11+D11+C11</f>
        <v>9.909900591080063</v>
      </c>
      <c r="F11" s="19">
        <f>E11*$F$1</f>
        <v>765.7380186727564</v>
      </c>
      <c r="G11" s="21">
        <v>765</v>
      </c>
      <c r="H11" s="21">
        <f>G11-F11</f>
        <v>-0.7380186727564251</v>
      </c>
    </row>
    <row r="12" spans="1:8" s="8" customFormat="1" ht="15">
      <c r="A12" s="3" t="s">
        <v>513</v>
      </c>
      <c r="B12" s="22">
        <v>25.25</v>
      </c>
      <c r="C12" s="22">
        <f>B12*0.1</f>
        <v>2.5250000000000004</v>
      </c>
      <c r="D12" s="84">
        <f t="shared" si="1"/>
        <v>2.5553018090632276</v>
      </c>
      <c r="E12" s="84">
        <f>B12+D12+C12</f>
        <v>30.33030180906323</v>
      </c>
      <c r="F12" s="19">
        <f>E12*$F$1</f>
        <v>2343.6224207863156</v>
      </c>
      <c r="G12" s="21">
        <v>2341</v>
      </c>
      <c r="H12" s="21">
        <f>G12-F12</f>
        <v>-2.6224207863156153</v>
      </c>
    </row>
    <row r="13" spans="1:8" s="8" customFormat="1" ht="15">
      <c r="A13" s="4" t="s">
        <v>514</v>
      </c>
      <c r="B13" s="22">
        <v>34.75</v>
      </c>
      <c r="C13" s="22">
        <f t="shared" si="0"/>
        <v>3.475</v>
      </c>
      <c r="D13" s="84">
        <f t="shared" si="1"/>
        <v>3.5167024897008776</v>
      </c>
      <c r="E13" s="84">
        <f t="shared" si="2"/>
        <v>41.74170248970088</v>
      </c>
      <c r="F13" s="19">
        <f t="shared" si="3"/>
        <v>3225.3813513791865</v>
      </c>
      <c r="G13" s="21">
        <v>3300</v>
      </c>
      <c r="H13" s="21">
        <f t="shared" si="4"/>
        <v>74.61864862081347</v>
      </c>
    </row>
    <row r="14" spans="1:9" s="8" customFormat="1" ht="15">
      <c r="A14" s="4" t="s">
        <v>418</v>
      </c>
      <c r="B14" s="22">
        <v>57.9</v>
      </c>
      <c r="C14" s="22">
        <f t="shared" si="0"/>
        <v>5.79</v>
      </c>
      <c r="D14" s="84">
        <f t="shared" si="1"/>
        <v>5.859484148307361</v>
      </c>
      <c r="E14" s="84">
        <f t="shared" si="2"/>
        <v>69.54948414830736</v>
      </c>
      <c r="F14" s="19">
        <f t="shared" si="3"/>
        <v>5374.088640139709</v>
      </c>
      <c r="G14" s="21">
        <f>11292+230+7</f>
        <v>11529</v>
      </c>
      <c r="H14" s="21">
        <f t="shared" si="4"/>
        <v>6154.911359860291</v>
      </c>
      <c r="I14" s="8" t="s">
        <v>518</v>
      </c>
    </row>
    <row r="15" spans="1:8" s="8" customFormat="1" ht="15">
      <c r="A15" s="4" t="s">
        <v>515</v>
      </c>
      <c r="B15" s="22">
        <v>55.58</v>
      </c>
      <c r="C15" s="22">
        <f t="shared" si="0"/>
        <v>5.558</v>
      </c>
      <c r="D15" s="84">
        <f t="shared" si="1"/>
        <v>5.624699982088482</v>
      </c>
      <c r="E15" s="84">
        <f t="shared" si="2"/>
        <v>66.76269998208848</v>
      </c>
      <c r="F15" s="19">
        <f t="shared" si="3"/>
        <v>5158.753827615977</v>
      </c>
      <c r="G15" s="21">
        <v>5200</v>
      </c>
      <c r="H15" s="21">
        <f t="shared" si="4"/>
        <v>41.24617238402334</v>
      </c>
    </row>
    <row r="16" spans="1:9" s="8" customFormat="1" ht="15">
      <c r="A16" s="4" t="s">
        <v>224</v>
      </c>
      <c r="B16" s="22">
        <v>67.54</v>
      </c>
      <c r="C16" s="85"/>
      <c r="D16" s="84">
        <f t="shared" si="1"/>
        <v>6.835052838975461</v>
      </c>
      <c r="E16" s="85"/>
      <c r="F16" s="28"/>
      <c r="G16" s="28"/>
      <c r="H16" s="28"/>
      <c r="I16" s="32"/>
    </row>
    <row r="17" spans="1:8" s="8" customFormat="1" ht="15">
      <c r="A17" s="25"/>
      <c r="B17" s="86">
        <f>SUM(B4:B16)</f>
        <v>334.98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486</v>
      </c>
    </row>
    <row r="20" ht="31.5">
      <c r="A20" s="99" t="s">
        <v>418</v>
      </c>
    </row>
    <row r="21" ht="15">
      <c r="A21" s="100" t="s">
        <v>516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8" customFormat="1" ht="21.75" customHeight="1">
      <c r="A1" s="9" t="s">
        <v>205</v>
      </c>
      <c r="B1" s="10">
        <v>42050</v>
      </c>
      <c r="C1" s="10"/>
      <c r="D1" s="10"/>
      <c r="E1" s="11" t="s">
        <v>206</v>
      </c>
      <c r="F1" s="106">
        <v>73.23</v>
      </c>
      <c r="G1" s="8" t="s">
        <v>207</v>
      </c>
    </row>
    <row r="2" s="8" customFormat="1" ht="23.25" customHeight="1">
      <c r="A2" s="33"/>
    </row>
    <row r="3" spans="1:8" s="15" customFormat="1" ht="60">
      <c r="A3" s="13" t="s">
        <v>208</v>
      </c>
      <c r="B3" s="14" t="s">
        <v>292</v>
      </c>
      <c r="C3" s="14" t="s">
        <v>488</v>
      </c>
      <c r="D3" s="14" t="s">
        <v>293</v>
      </c>
      <c r="E3" s="13" t="s">
        <v>294</v>
      </c>
      <c r="F3" s="13" t="s">
        <v>214</v>
      </c>
      <c r="G3" s="13" t="s">
        <v>295</v>
      </c>
      <c r="H3" s="13" t="s">
        <v>296</v>
      </c>
    </row>
    <row r="4" spans="1:8" s="8" customFormat="1" ht="15">
      <c r="A4" s="3" t="s">
        <v>8</v>
      </c>
      <c r="B4" s="22">
        <v>8.32</v>
      </c>
      <c r="C4" s="22">
        <f aca="true" t="shared" si="0" ref="C4:C10">B4*0.1</f>
        <v>0.8320000000000001</v>
      </c>
      <c r="D4" s="84">
        <f aca="true" t="shared" si="1" ref="D4:D11">B4/$B$12*$D$12</f>
        <v>0.9819081602027546</v>
      </c>
      <c r="E4" s="84">
        <f aca="true" t="shared" si="2" ref="E4:E10">B4+D4+C4</f>
        <v>10.133908160202756</v>
      </c>
      <c r="F4" s="19">
        <f aca="true" t="shared" si="3" ref="F4:F10">E4*$F$1</f>
        <v>742.1060945716479</v>
      </c>
      <c r="G4" s="21">
        <v>769</v>
      </c>
      <c r="H4" s="21">
        <f aca="true" t="shared" si="4" ref="H4:H10">G4-F4</f>
        <v>26.893905428352127</v>
      </c>
    </row>
    <row r="5" spans="1:8" s="8" customFormat="1" ht="15">
      <c r="A5" s="4" t="s">
        <v>519</v>
      </c>
      <c r="B5" s="22">
        <v>8.25</v>
      </c>
      <c r="C5" s="22">
        <f t="shared" si="0"/>
        <v>0.8250000000000001</v>
      </c>
      <c r="D5" s="84">
        <f t="shared" si="1"/>
        <v>0.9736469136625872</v>
      </c>
      <c r="E5" s="84">
        <f t="shared" si="2"/>
        <v>10.048646913662587</v>
      </c>
      <c r="F5" s="19">
        <f t="shared" si="3"/>
        <v>735.8624134875113</v>
      </c>
      <c r="G5" s="21">
        <v>762</v>
      </c>
      <c r="H5" s="21">
        <f t="shared" si="4"/>
        <v>26.137586512488724</v>
      </c>
    </row>
    <row r="6" spans="1:8" s="8" customFormat="1" ht="15">
      <c r="A6" s="4" t="s">
        <v>520</v>
      </c>
      <c r="B6" s="22">
        <v>6.13</v>
      </c>
      <c r="C6" s="22">
        <f t="shared" si="0"/>
        <v>0.613</v>
      </c>
      <c r="D6" s="84">
        <f t="shared" si="1"/>
        <v>0.7234491613032313</v>
      </c>
      <c r="E6" s="84">
        <f t="shared" si="2"/>
        <v>7.466449161303231</v>
      </c>
      <c r="F6" s="19">
        <f t="shared" si="3"/>
        <v>546.7680720822357</v>
      </c>
      <c r="G6" s="21">
        <f>566-19</f>
        <v>547</v>
      </c>
      <c r="H6" s="21">
        <f t="shared" si="4"/>
        <v>0.23192791776432387</v>
      </c>
    </row>
    <row r="7" spans="1:8" s="8" customFormat="1" ht="15">
      <c r="A7" s="4" t="s">
        <v>512</v>
      </c>
      <c r="B7" s="22">
        <v>21.42</v>
      </c>
      <c r="C7" s="22">
        <f t="shared" si="0"/>
        <v>2.1420000000000003</v>
      </c>
      <c r="D7" s="84">
        <f t="shared" si="1"/>
        <v>2.5279414412912264</v>
      </c>
      <c r="E7" s="84">
        <f t="shared" si="2"/>
        <v>26.089941441291227</v>
      </c>
      <c r="F7" s="19">
        <f t="shared" si="3"/>
        <v>1910.5664117457566</v>
      </c>
      <c r="G7" s="21">
        <v>1979</v>
      </c>
      <c r="H7" s="21">
        <f t="shared" si="4"/>
        <v>68.43358825424343</v>
      </c>
    </row>
    <row r="8" spans="1:8" s="8" customFormat="1" ht="15">
      <c r="A8" s="3" t="s">
        <v>521</v>
      </c>
      <c r="B8" s="22">
        <v>5.42</v>
      </c>
      <c r="C8" s="22">
        <f t="shared" si="0"/>
        <v>0.542</v>
      </c>
      <c r="D8" s="84">
        <f t="shared" si="1"/>
        <v>0.6396565178243906</v>
      </c>
      <c r="E8" s="84">
        <f t="shared" si="2"/>
        <v>6.601656517824391</v>
      </c>
      <c r="F8" s="19">
        <f t="shared" si="3"/>
        <v>483.4393068002802</v>
      </c>
      <c r="G8" s="21">
        <v>483</v>
      </c>
      <c r="H8" s="21">
        <f t="shared" si="4"/>
        <v>-0.4393068002801783</v>
      </c>
    </row>
    <row r="9" spans="1:8" s="8" customFormat="1" ht="15">
      <c r="A9" s="4" t="s">
        <v>418</v>
      </c>
      <c r="B9" s="22">
        <v>57.9</v>
      </c>
      <c r="C9" s="22">
        <f t="shared" si="0"/>
        <v>5.79</v>
      </c>
      <c r="D9" s="84">
        <f t="shared" si="1"/>
        <v>6.833231066795611</v>
      </c>
      <c r="E9" s="84">
        <f t="shared" si="2"/>
        <v>70.52323106679562</v>
      </c>
      <c r="F9" s="19">
        <f t="shared" si="3"/>
        <v>5164.416211021443</v>
      </c>
      <c r="G9" s="21">
        <v>5350</v>
      </c>
      <c r="H9" s="21">
        <f t="shared" si="4"/>
        <v>185.5837889785571</v>
      </c>
    </row>
    <row r="10" spans="1:8" s="8" customFormat="1" ht="15">
      <c r="A10" s="4" t="s">
        <v>494</v>
      </c>
      <c r="B10" s="22">
        <f>131.28-8.05</f>
        <v>123.23</v>
      </c>
      <c r="C10" s="22">
        <f t="shared" si="0"/>
        <v>12.323</v>
      </c>
      <c r="D10" s="84">
        <f t="shared" si="1"/>
        <v>14.543334444926137</v>
      </c>
      <c r="E10" s="84">
        <f t="shared" si="2"/>
        <v>150.09633444492616</v>
      </c>
      <c r="F10" s="19">
        <f t="shared" si="3"/>
        <v>10991.554571401943</v>
      </c>
      <c r="G10" s="21">
        <f>12130-1519+381</f>
        <v>10992</v>
      </c>
      <c r="H10" s="21">
        <f t="shared" si="4"/>
        <v>0.44542859805733315</v>
      </c>
    </row>
    <row r="11" spans="1:9" s="8" customFormat="1" ht="15">
      <c r="A11" s="4" t="s">
        <v>224</v>
      </c>
      <c r="B11" s="22">
        <f>61.15+8.05</f>
        <v>69.2</v>
      </c>
      <c r="C11" s="85"/>
      <c r="D11" s="84">
        <f t="shared" si="1"/>
        <v>8.166832293994064</v>
      </c>
      <c r="E11" s="85"/>
      <c r="F11" s="28"/>
      <c r="G11" s="28"/>
      <c r="H11" s="28"/>
      <c r="I11" s="32"/>
    </row>
    <row r="12" spans="1:8" s="8" customFormat="1" ht="15">
      <c r="A12" s="25"/>
      <c r="B12" s="86">
        <f>SUM(B4:B11)</f>
        <v>299.87</v>
      </c>
      <c r="C12" s="86"/>
      <c r="D12" s="86">
        <v>35.39</v>
      </c>
      <c r="E12" s="113">
        <f>D12/B12</f>
        <v>0.11801780771667723</v>
      </c>
      <c r="F12" s="28"/>
      <c r="G12" s="28"/>
      <c r="H12" s="28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205</v>
      </c>
      <c r="B1" s="10">
        <v>42061</v>
      </c>
      <c r="C1" s="10"/>
      <c r="D1" s="10"/>
      <c r="E1" s="10"/>
      <c r="F1" s="11" t="s">
        <v>206</v>
      </c>
      <c r="G1" s="106">
        <v>72.44</v>
      </c>
      <c r="H1" s="8" t="s">
        <v>207</v>
      </c>
    </row>
    <row r="2" s="8" customFormat="1" ht="23.25" customHeight="1"/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127</v>
      </c>
      <c r="B4" s="22">
        <v>25.42</v>
      </c>
      <c r="C4" s="22">
        <f aca="true" t="shared" si="0" ref="C4:C11">B4*0.1</f>
        <v>2.5420000000000003</v>
      </c>
      <c r="D4" s="22">
        <v>50</v>
      </c>
      <c r="E4" s="84">
        <f>D4/$D$19*$E$19</f>
        <v>0.24045020463847205</v>
      </c>
      <c r="F4" s="84">
        <f>B4+E4+C4</f>
        <v>28.202450204638474</v>
      </c>
      <c r="G4" s="19">
        <f aca="true" t="shared" si="1" ref="G4:G11">F4*$G$1</f>
        <v>2042.985492824011</v>
      </c>
      <c r="H4" s="21">
        <f>1985+58</f>
        <v>2043</v>
      </c>
      <c r="I4" s="21">
        <f aca="true" t="shared" si="2" ref="I4:I11">H4-G4</f>
        <v>0.014507175988910603</v>
      </c>
    </row>
    <row r="5" spans="1:9" s="8" customFormat="1" ht="15">
      <c r="A5" s="4" t="s">
        <v>523</v>
      </c>
      <c r="B5" s="22">
        <v>20.92</v>
      </c>
      <c r="C5" s="22">
        <f t="shared" si="0"/>
        <v>2.092</v>
      </c>
      <c r="D5" s="22">
        <v>460</v>
      </c>
      <c r="E5" s="84">
        <f aca="true" t="shared" si="3" ref="E5:E18">D5/$D$19*$E$19</f>
        <v>2.2121418826739427</v>
      </c>
      <c r="F5" s="84">
        <f aca="true" t="shared" si="4" ref="F5:F11">B5+E5+C5</f>
        <v>25.224141882673944</v>
      </c>
      <c r="G5" s="19">
        <f t="shared" si="1"/>
        <v>1827.2368379809004</v>
      </c>
      <c r="H5" s="21">
        <f>1777+50</f>
        <v>1827</v>
      </c>
      <c r="I5" s="21">
        <f t="shared" si="2"/>
        <v>-0.2368379809004182</v>
      </c>
    </row>
    <row r="6" spans="1:9" s="8" customFormat="1" ht="15">
      <c r="A6" s="4" t="s">
        <v>525</v>
      </c>
      <c r="B6" s="22">
        <v>9.84</v>
      </c>
      <c r="C6" s="22">
        <f t="shared" si="0"/>
        <v>0.984</v>
      </c>
      <c r="D6" s="116">
        <v>400</v>
      </c>
      <c r="E6" s="84">
        <f t="shared" si="3"/>
        <v>1.9236016371077764</v>
      </c>
      <c r="F6" s="84">
        <f t="shared" si="4"/>
        <v>12.747601637107776</v>
      </c>
      <c r="G6" s="19">
        <f t="shared" si="1"/>
        <v>923.4362625920872</v>
      </c>
      <c r="H6" s="21">
        <v>926</v>
      </c>
      <c r="I6" s="21">
        <f t="shared" si="2"/>
        <v>2.563737407912754</v>
      </c>
    </row>
    <row r="7" spans="1:9" s="8" customFormat="1" ht="15">
      <c r="A7" s="3" t="s">
        <v>526</v>
      </c>
      <c r="B7" s="22">
        <v>8.29</v>
      </c>
      <c r="C7" s="22">
        <f>B7*0.1</f>
        <v>0.829</v>
      </c>
      <c r="D7" s="22">
        <v>550</v>
      </c>
      <c r="E7" s="84">
        <f t="shared" si="3"/>
        <v>2.6449522510231924</v>
      </c>
      <c r="F7" s="84">
        <f>B7+E7+C7</f>
        <v>11.763952251023191</v>
      </c>
      <c r="G7" s="19">
        <f>F7*$G$1</f>
        <v>852.18070106412</v>
      </c>
      <c r="H7" s="21">
        <f>830+22</f>
        <v>852</v>
      </c>
      <c r="I7" s="21">
        <f>H7-G7</f>
        <v>-0.18070106411994402</v>
      </c>
    </row>
    <row r="8" spans="1:9" s="8" customFormat="1" ht="15">
      <c r="A8" s="4" t="s">
        <v>508</v>
      </c>
      <c r="B8" s="115"/>
      <c r="C8" s="115"/>
      <c r="D8" s="22">
        <v>90</v>
      </c>
      <c r="E8" s="84">
        <f t="shared" si="3"/>
        <v>0.4328103683492497</v>
      </c>
      <c r="F8" s="84">
        <f>B8+E8+C8</f>
        <v>0.4328103683492497</v>
      </c>
      <c r="G8" s="19">
        <f>F8*$G$1</f>
        <v>31.352783083219645</v>
      </c>
      <c r="H8" s="21">
        <v>31</v>
      </c>
      <c r="I8" s="21">
        <f>H8-G8</f>
        <v>-0.352783083219645</v>
      </c>
    </row>
    <row r="9" spans="1:9" s="8" customFormat="1" ht="15">
      <c r="A9" s="4" t="s">
        <v>190</v>
      </c>
      <c r="B9" s="22">
        <v>6.6</v>
      </c>
      <c r="C9" s="22">
        <f>B9*0.1</f>
        <v>0.66</v>
      </c>
      <c r="D9" s="22">
        <v>550</v>
      </c>
      <c r="E9" s="84">
        <f t="shared" si="3"/>
        <v>2.6449522510231924</v>
      </c>
      <c r="F9" s="84">
        <f>B9+E9+C9</f>
        <v>9.904952251023193</v>
      </c>
      <c r="G9" s="19">
        <f>F9*$G$1</f>
        <v>717.5147410641201</v>
      </c>
      <c r="H9" s="21">
        <f>700+15</f>
        <v>715</v>
      </c>
      <c r="I9" s="21">
        <f>H9-G9</f>
        <v>-2.5147410641201304</v>
      </c>
    </row>
    <row r="10" spans="1:9" s="8" customFormat="1" ht="15">
      <c r="A10" s="4" t="s">
        <v>527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3"/>
        <v>1.1060709413369714</v>
      </c>
      <c r="F10" s="84">
        <f t="shared" si="4"/>
        <v>5.594070941336972</v>
      </c>
      <c r="G10" s="19">
        <f t="shared" si="1"/>
        <v>405.2344989904503</v>
      </c>
      <c r="H10" s="21">
        <f>395+10</f>
        <v>405</v>
      </c>
      <c r="I10" s="21">
        <f t="shared" si="2"/>
        <v>-0.23449899045027678</v>
      </c>
    </row>
    <row r="11" spans="1:9" s="8" customFormat="1" ht="15">
      <c r="A11" s="3" t="s">
        <v>528</v>
      </c>
      <c r="B11" s="22">
        <v>14.83</v>
      </c>
      <c r="C11" s="22">
        <f t="shared" si="0"/>
        <v>1.483</v>
      </c>
      <c r="D11" s="22">
        <v>920</v>
      </c>
      <c r="E11" s="84">
        <f t="shared" si="3"/>
        <v>4.4242837653478855</v>
      </c>
      <c r="F11" s="84">
        <f t="shared" si="4"/>
        <v>20.737283765347886</v>
      </c>
      <c r="G11" s="19">
        <f t="shared" si="1"/>
        <v>1502.2088359618008</v>
      </c>
      <c r="H11" s="21">
        <f>1464+38</f>
        <v>1502</v>
      </c>
      <c r="I11" s="21">
        <f t="shared" si="2"/>
        <v>-0.20883596180078712</v>
      </c>
    </row>
    <row r="12" spans="1:9" s="8" customFormat="1" ht="15">
      <c r="A12" s="4" t="s">
        <v>529</v>
      </c>
      <c r="B12" s="22">
        <v>16.13</v>
      </c>
      <c r="C12" s="22">
        <f aca="true" t="shared" si="5" ref="C12:C17">B12*0.1</f>
        <v>1.613</v>
      </c>
      <c r="D12" s="22">
        <v>1250</v>
      </c>
      <c r="E12" s="84">
        <f t="shared" si="3"/>
        <v>6.011255115961801</v>
      </c>
      <c r="F12" s="84">
        <f aca="true" t="shared" si="6" ref="F12:F17">B12+E12+C12</f>
        <v>23.7542551159618</v>
      </c>
      <c r="G12" s="19">
        <f aca="true" t="shared" si="7" ref="G12:G17">F12*$G$1</f>
        <v>1720.7582406002728</v>
      </c>
      <c r="H12" s="21">
        <f>1680+41</f>
        <v>1721</v>
      </c>
      <c r="I12" s="21">
        <f aca="true" t="shared" si="8" ref="I12:I17">H12-G12</f>
        <v>0.24175939972724336</v>
      </c>
    </row>
    <row r="13" spans="1:9" s="8" customFormat="1" ht="15">
      <c r="A13" s="4" t="s">
        <v>530</v>
      </c>
      <c r="B13" s="22">
        <v>10.84</v>
      </c>
      <c r="C13" s="22">
        <f t="shared" si="5"/>
        <v>1.084</v>
      </c>
      <c r="D13" s="22">
        <v>160</v>
      </c>
      <c r="E13" s="84">
        <f t="shared" si="3"/>
        <v>0.7694406548431105</v>
      </c>
      <c r="F13" s="84">
        <f t="shared" si="6"/>
        <v>12.69344065484311</v>
      </c>
      <c r="G13" s="19">
        <f t="shared" si="7"/>
        <v>919.5128410368349</v>
      </c>
      <c r="H13" s="21">
        <f>894+26</f>
        <v>920</v>
      </c>
      <c r="I13" s="21">
        <f t="shared" si="8"/>
        <v>0.4871589631651432</v>
      </c>
    </row>
    <row r="14" spans="1:9" s="8" customFormat="1" ht="15">
      <c r="A14" s="4" t="s">
        <v>531</v>
      </c>
      <c r="B14" s="22">
        <v>5.79</v>
      </c>
      <c r="C14" s="22">
        <f t="shared" si="5"/>
        <v>0.5790000000000001</v>
      </c>
      <c r="D14" s="22">
        <v>210</v>
      </c>
      <c r="E14" s="84">
        <f t="shared" si="3"/>
        <v>1.0098908594815825</v>
      </c>
      <c r="F14" s="84">
        <f t="shared" si="6"/>
        <v>7.378890859481582</v>
      </c>
      <c r="G14" s="19">
        <f t="shared" si="7"/>
        <v>534.5268538608458</v>
      </c>
      <c r="H14" s="21">
        <f>506+9</f>
        <v>515</v>
      </c>
      <c r="I14" s="21">
        <f t="shared" si="8"/>
        <v>-19.52685386084579</v>
      </c>
    </row>
    <row r="15" spans="1:9" s="8" customFormat="1" ht="15">
      <c r="A15" s="4" t="s">
        <v>155</v>
      </c>
      <c r="B15" s="22">
        <v>3.27</v>
      </c>
      <c r="C15" s="22">
        <f t="shared" si="5"/>
        <v>0.327</v>
      </c>
      <c r="D15" s="22">
        <v>180</v>
      </c>
      <c r="E15" s="84">
        <f t="shared" si="3"/>
        <v>0.8656207366984994</v>
      </c>
      <c r="F15" s="84">
        <f t="shared" si="6"/>
        <v>4.462620736698499</v>
      </c>
      <c r="G15" s="19">
        <f t="shared" si="7"/>
        <v>323.27224616643923</v>
      </c>
      <c r="H15" s="21">
        <v>315</v>
      </c>
      <c r="I15" s="21">
        <f t="shared" si="8"/>
        <v>-8.272246166439231</v>
      </c>
    </row>
    <row r="16" spans="1:9" s="8" customFormat="1" ht="15">
      <c r="A16" s="4" t="s">
        <v>453</v>
      </c>
      <c r="B16" s="22">
        <v>22.35</v>
      </c>
      <c r="C16" s="22">
        <f t="shared" si="5"/>
        <v>2.2350000000000003</v>
      </c>
      <c r="D16" s="22">
        <v>1300</v>
      </c>
      <c r="E16" s="84">
        <f t="shared" si="3"/>
        <v>6.251705320600273</v>
      </c>
      <c r="F16" s="84">
        <f t="shared" si="6"/>
        <v>30.836705320600274</v>
      </c>
      <c r="G16" s="19">
        <f t="shared" si="7"/>
        <v>2233.8109334242836</v>
      </c>
      <c r="H16" s="21">
        <v>2169</v>
      </c>
      <c r="I16" s="21">
        <f t="shared" si="8"/>
        <v>-64.81093342428358</v>
      </c>
    </row>
    <row r="17" spans="1:9" s="8" customFormat="1" ht="15">
      <c r="A17" s="4" t="s">
        <v>512</v>
      </c>
      <c r="B17" s="22">
        <v>11.58</v>
      </c>
      <c r="C17" s="22">
        <f t="shared" si="5"/>
        <v>1.1580000000000001</v>
      </c>
      <c r="D17" s="22">
        <v>490</v>
      </c>
      <c r="E17" s="84">
        <f t="shared" si="3"/>
        <v>2.356412005457026</v>
      </c>
      <c r="F17" s="84">
        <f t="shared" si="6"/>
        <v>15.094412005457025</v>
      </c>
      <c r="G17" s="19">
        <f t="shared" si="7"/>
        <v>1093.4392056753068</v>
      </c>
      <c r="H17" s="21">
        <f>989+40</f>
        <v>1029</v>
      </c>
      <c r="I17" s="21">
        <f t="shared" si="8"/>
        <v>-64.43920567530677</v>
      </c>
    </row>
    <row r="18" spans="1:10" s="8" customFormat="1" ht="15">
      <c r="A18" s="4" t="s">
        <v>224</v>
      </c>
      <c r="B18" s="85"/>
      <c r="C18" s="85"/>
      <c r="D18" s="22">
        <v>7820</v>
      </c>
      <c r="E18" s="84">
        <f t="shared" si="3"/>
        <v>37.606412005457024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159.94</v>
      </c>
      <c r="C19" s="86"/>
      <c r="D19" s="86">
        <f>SUM(D4:D18)</f>
        <v>14660</v>
      </c>
      <c r="E19" s="86">
        <v>70.5</v>
      </c>
      <c r="F19" s="113">
        <f>E19/14.66</f>
        <v>4.809004092769441</v>
      </c>
      <c r="G19" s="28"/>
      <c r="H19" s="28"/>
      <c r="I19" s="28"/>
    </row>
    <row r="22" ht="28.5">
      <c r="A22" s="107" t="s">
        <v>486</v>
      </c>
    </row>
    <row r="23" spans="1:2" ht="31.5">
      <c r="A23" s="114" t="s">
        <v>523</v>
      </c>
      <c r="B23" s="105"/>
    </row>
    <row r="24" ht="15">
      <c r="A24" s="100" t="s">
        <v>524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205</v>
      </c>
      <c r="B1" s="10">
        <v>42069</v>
      </c>
      <c r="C1" s="10"/>
      <c r="D1" s="10"/>
      <c r="E1" s="10"/>
      <c r="F1" s="11" t="s">
        <v>206</v>
      </c>
      <c r="G1" s="106">
        <v>67.83</v>
      </c>
      <c r="H1" s="8" t="s">
        <v>207</v>
      </c>
    </row>
    <row r="2" s="8" customFormat="1" ht="23.25" customHeight="1">
      <c r="A2" s="33" t="s">
        <v>532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536</v>
      </c>
      <c r="B4" s="22">
        <v>23.92</v>
      </c>
      <c r="C4" s="22">
        <f aca="true" t="shared" si="0" ref="C4:C15">B4*0.1</f>
        <v>2.3920000000000003</v>
      </c>
      <c r="D4" s="22">
        <v>250</v>
      </c>
      <c r="E4" s="84">
        <f aca="true" t="shared" si="1" ref="E4:E16">D4/$D$17*$E$17</f>
        <v>1.3971539456662356</v>
      </c>
      <c r="F4" s="84">
        <f>B4+E4+C4</f>
        <v>27.709153945666237</v>
      </c>
      <c r="G4" s="19">
        <f aca="true" t="shared" si="2" ref="G4:G15">F4*$G$1</f>
        <v>1879.5119121345408</v>
      </c>
      <c r="H4" s="21">
        <f>1866+14</f>
        <v>1880</v>
      </c>
      <c r="I4" s="21">
        <f aca="true" t="shared" si="3" ref="I4:I15">H4-G4</f>
        <v>0.48808786545919247</v>
      </c>
    </row>
    <row r="5" spans="1:9" s="8" customFormat="1" ht="15">
      <c r="A5" s="4" t="s">
        <v>418</v>
      </c>
      <c r="B5" s="22">
        <v>63.74</v>
      </c>
      <c r="C5" s="22">
        <f t="shared" si="0"/>
        <v>6.3740000000000006</v>
      </c>
      <c r="D5" s="22">
        <v>580</v>
      </c>
      <c r="E5" s="84">
        <f t="shared" si="1"/>
        <v>3.2413971539456665</v>
      </c>
      <c r="F5" s="84">
        <f aca="true" t="shared" si="4" ref="F5:F15">B5+E5+C5</f>
        <v>73.35539715394566</v>
      </c>
      <c r="G5" s="19">
        <f t="shared" si="2"/>
        <v>4975.696588952134</v>
      </c>
      <c r="H5" s="21">
        <v>4940</v>
      </c>
      <c r="I5" s="21">
        <f t="shared" si="3"/>
        <v>-35.696588952134334</v>
      </c>
    </row>
    <row r="6" spans="1:9" s="8" customFormat="1" ht="15">
      <c r="A6" s="4" t="s">
        <v>537</v>
      </c>
      <c r="B6" s="22">
        <v>1.64</v>
      </c>
      <c r="C6" s="22">
        <f t="shared" si="0"/>
        <v>0.164</v>
      </c>
      <c r="D6" s="116">
        <v>80</v>
      </c>
      <c r="E6" s="84">
        <f t="shared" si="1"/>
        <v>0.4470892626131954</v>
      </c>
      <c r="F6" s="84">
        <f t="shared" si="4"/>
        <v>2.2510892626131955</v>
      </c>
      <c r="G6" s="19">
        <f t="shared" si="2"/>
        <v>152.69138468305306</v>
      </c>
      <c r="H6" s="21">
        <f>151+2</f>
        <v>153</v>
      </c>
      <c r="I6" s="21">
        <f t="shared" si="3"/>
        <v>0.3086153169469412</v>
      </c>
    </row>
    <row r="7" spans="1:9" s="8" customFormat="1" ht="15">
      <c r="A7" s="3" t="s">
        <v>538</v>
      </c>
      <c r="B7" s="22">
        <v>15.96</v>
      </c>
      <c r="C7" s="22">
        <f>B7*0.1</f>
        <v>1.596</v>
      </c>
      <c r="D7" s="22">
        <v>2090</v>
      </c>
      <c r="E7" s="84">
        <f t="shared" si="1"/>
        <v>11.680206985769729</v>
      </c>
      <c r="F7" s="84">
        <f>B7+E7+C7</f>
        <v>29.23620698576973</v>
      </c>
      <c r="G7" s="19">
        <f>F7*$G$1</f>
        <v>1983.0919198447607</v>
      </c>
      <c r="H7" s="21">
        <f>1952+31</f>
        <v>1983</v>
      </c>
      <c r="I7" s="21">
        <f>H7-G7</f>
        <v>-0.09191984476069592</v>
      </c>
    </row>
    <row r="8" spans="1:9" s="8" customFormat="1" ht="15">
      <c r="A8" s="4" t="s">
        <v>539</v>
      </c>
      <c r="B8" s="22">
        <v>25.68</v>
      </c>
      <c r="C8" s="22">
        <f>B8*0.1</f>
        <v>2.568</v>
      </c>
      <c r="D8" s="22">
        <v>110</v>
      </c>
      <c r="E8" s="84">
        <f t="shared" si="1"/>
        <v>0.6147477360931437</v>
      </c>
      <c r="F8" s="84">
        <f>B8+E8+C8</f>
        <v>28.862747736093144</v>
      </c>
      <c r="G8" s="19">
        <f>F8*$G$1</f>
        <v>1957.7601789391979</v>
      </c>
      <c r="H8" s="21">
        <f>1925+33</f>
        <v>1958</v>
      </c>
      <c r="I8" s="21">
        <f>H8-G8</f>
        <v>0.23982106080211452</v>
      </c>
    </row>
    <row r="9" spans="1:9" s="8" customFormat="1" ht="15">
      <c r="A9" s="4" t="s">
        <v>531</v>
      </c>
      <c r="B9" s="22">
        <v>27.77</v>
      </c>
      <c r="C9" s="22">
        <f>B9*0.1</f>
        <v>2.777</v>
      </c>
      <c r="D9" s="22">
        <v>680</v>
      </c>
      <c r="E9" s="84">
        <f t="shared" si="1"/>
        <v>3.800258732212161</v>
      </c>
      <c r="F9" s="84">
        <f>B9+E9+C9</f>
        <v>34.34725873221216</v>
      </c>
      <c r="G9" s="19">
        <f>F9*$G$1</f>
        <v>2329.774559805951</v>
      </c>
      <c r="H9" s="21">
        <v>2368</v>
      </c>
      <c r="I9" s="21">
        <f>H9-G9</f>
        <v>38.22544019404904</v>
      </c>
    </row>
    <row r="10" spans="1:9" s="8" customFormat="1" ht="15">
      <c r="A10" s="4" t="s">
        <v>61</v>
      </c>
      <c r="B10" s="22">
        <v>5.42</v>
      </c>
      <c r="C10" s="22">
        <f t="shared" si="0"/>
        <v>0.542</v>
      </c>
      <c r="D10" s="22">
        <v>310</v>
      </c>
      <c r="E10" s="84">
        <f t="shared" si="1"/>
        <v>1.732470892626132</v>
      </c>
      <c r="F10" s="84">
        <f t="shared" si="4"/>
        <v>7.694470892626132</v>
      </c>
      <c r="G10" s="19">
        <f t="shared" si="2"/>
        <v>521.9159606468305</v>
      </c>
      <c r="H10" s="21">
        <v>501</v>
      </c>
      <c r="I10" s="21">
        <f t="shared" si="3"/>
        <v>-20.915960646830513</v>
      </c>
    </row>
    <row r="11" spans="1:9" s="8" customFormat="1" ht="15">
      <c r="A11" s="3" t="s">
        <v>540</v>
      </c>
      <c r="B11" s="22">
        <v>9.08</v>
      </c>
      <c r="C11" s="22">
        <f t="shared" si="0"/>
        <v>0.908</v>
      </c>
      <c r="D11" s="22">
        <v>60</v>
      </c>
      <c r="E11" s="84">
        <f t="shared" si="1"/>
        <v>0.33531694695989656</v>
      </c>
      <c r="F11" s="84">
        <f t="shared" si="4"/>
        <v>10.323316946959896</v>
      </c>
      <c r="G11" s="19">
        <f t="shared" si="2"/>
        <v>700.2305885122897</v>
      </c>
      <c r="H11" s="21">
        <f>688+12</f>
        <v>700</v>
      </c>
      <c r="I11" s="21">
        <f t="shared" si="3"/>
        <v>-0.230588512289728</v>
      </c>
    </row>
    <row r="12" spans="1:9" s="8" customFormat="1" ht="15">
      <c r="A12" s="4" t="s">
        <v>534</v>
      </c>
      <c r="B12" s="22">
        <v>10.25</v>
      </c>
      <c r="C12" s="22">
        <f t="shared" si="0"/>
        <v>1.0250000000000001</v>
      </c>
      <c r="D12" s="22">
        <v>250</v>
      </c>
      <c r="E12" s="84">
        <f t="shared" si="1"/>
        <v>1.3971539456662356</v>
      </c>
      <c r="F12" s="84">
        <f t="shared" si="4"/>
        <v>12.672153945666237</v>
      </c>
      <c r="G12" s="19">
        <f t="shared" si="2"/>
        <v>859.5522021345408</v>
      </c>
      <c r="H12" s="21">
        <f>852+8</f>
        <v>860</v>
      </c>
      <c r="I12" s="21">
        <f t="shared" si="3"/>
        <v>0.4477978654591652</v>
      </c>
    </row>
    <row r="13" spans="1:9" s="8" customFormat="1" ht="15">
      <c r="A13" s="4" t="s">
        <v>384</v>
      </c>
      <c r="B13" s="22">
        <v>9.08</v>
      </c>
      <c r="C13" s="22">
        <f t="shared" si="0"/>
        <v>0.908</v>
      </c>
      <c r="D13" s="22">
        <v>140</v>
      </c>
      <c r="E13" s="84">
        <f t="shared" si="1"/>
        <v>0.7824062095730918</v>
      </c>
      <c r="F13" s="84">
        <f t="shared" si="4"/>
        <v>10.77040620957309</v>
      </c>
      <c r="G13" s="19">
        <f t="shared" si="2"/>
        <v>730.5566531953427</v>
      </c>
      <c r="H13" s="21">
        <f>725+6</f>
        <v>731</v>
      </c>
      <c r="I13" s="21">
        <f t="shared" si="3"/>
        <v>0.44334680465726706</v>
      </c>
    </row>
    <row r="14" spans="1:9" s="8" customFormat="1" ht="15">
      <c r="A14" s="4" t="s">
        <v>430</v>
      </c>
      <c r="B14" s="22">
        <v>23.92</v>
      </c>
      <c r="C14" s="22">
        <f t="shared" si="0"/>
        <v>2.3920000000000003</v>
      </c>
      <c r="D14" s="22">
        <v>100</v>
      </c>
      <c r="E14" s="84">
        <f t="shared" si="1"/>
        <v>0.5588615782664943</v>
      </c>
      <c r="F14" s="84">
        <f t="shared" si="4"/>
        <v>26.870861578266496</v>
      </c>
      <c r="G14" s="19">
        <f t="shared" si="2"/>
        <v>1822.6505408538164</v>
      </c>
      <c r="H14" s="21">
        <v>1829</v>
      </c>
      <c r="I14" s="21">
        <f t="shared" si="3"/>
        <v>6.3494591461835626</v>
      </c>
    </row>
    <row r="15" spans="1:9" s="8" customFormat="1" ht="15">
      <c r="A15" s="4" t="s">
        <v>174</v>
      </c>
      <c r="B15" s="22">
        <v>26.92</v>
      </c>
      <c r="C15" s="22">
        <f t="shared" si="0"/>
        <v>2.692</v>
      </c>
      <c r="D15" s="22">
        <v>150</v>
      </c>
      <c r="E15" s="84">
        <f t="shared" si="1"/>
        <v>0.8382923673997412</v>
      </c>
      <c r="F15" s="84">
        <f t="shared" si="4"/>
        <v>30.450292367399744</v>
      </c>
      <c r="G15" s="19">
        <f t="shared" si="2"/>
        <v>2065.4433312807246</v>
      </c>
      <c r="H15" s="21">
        <v>2053</v>
      </c>
      <c r="I15" s="21">
        <f t="shared" si="3"/>
        <v>-12.443331280724578</v>
      </c>
    </row>
    <row r="16" spans="1:10" s="8" customFormat="1" ht="15">
      <c r="A16" s="4" t="s">
        <v>224</v>
      </c>
      <c r="B16" s="85"/>
      <c r="C16" s="85"/>
      <c r="D16" s="22">
        <v>2930</v>
      </c>
      <c r="E16" s="84">
        <f t="shared" si="1"/>
        <v>16.37464424320828</v>
      </c>
      <c r="F16" s="85"/>
      <c r="G16" s="28"/>
      <c r="H16" s="28"/>
      <c r="I16" s="28"/>
      <c r="J16" s="32"/>
    </row>
    <row r="17" spans="1:9" s="8" customFormat="1" ht="15">
      <c r="A17" s="25"/>
      <c r="B17" s="86">
        <f>SUM(B4:B16)</f>
        <v>243.38000000000005</v>
      </c>
      <c r="C17" s="86"/>
      <c r="D17" s="86">
        <f>SUM(D4:D16)</f>
        <v>7730</v>
      </c>
      <c r="E17" s="86">
        <v>43.2</v>
      </c>
      <c r="F17" s="113"/>
      <c r="G17" s="28"/>
      <c r="H17" s="28"/>
      <c r="I17" s="28"/>
    </row>
    <row r="19" ht="28.5">
      <c r="A19" s="107" t="s">
        <v>486</v>
      </c>
    </row>
    <row r="20" spans="1:2" ht="31.5">
      <c r="A20" s="117" t="s">
        <v>8</v>
      </c>
      <c r="B20" s="105"/>
    </row>
    <row r="21" ht="15">
      <c r="A21" s="100" t="s">
        <v>533</v>
      </c>
    </row>
    <row r="22" spans="1:2" ht="31.5">
      <c r="A22" s="117" t="s">
        <v>534</v>
      </c>
      <c r="B22" s="105"/>
    </row>
    <row r="23" ht="15">
      <c r="A23" s="100" t="s">
        <v>535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205</v>
      </c>
      <c r="B1" s="10">
        <v>42083</v>
      </c>
      <c r="C1" s="10"/>
      <c r="D1" s="10"/>
      <c r="E1" s="10"/>
      <c r="F1" s="11" t="s">
        <v>206</v>
      </c>
      <c r="G1" s="106">
        <v>66.11</v>
      </c>
      <c r="H1" s="8" t="s">
        <v>207</v>
      </c>
    </row>
    <row r="2" s="8" customFormat="1" ht="23.25" customHeight="1">
      <c r="A2" s="33" t="s">
        <v>545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542</v>
      </c>
      <c r="B4" s="22">
        <v>14.84</v>
      </c>
      <c r="C4" s="22">
        <f aca="true" t="shared" si="0" ref="C4:C13">B4*0.1</f>
        <v>1.484</v>
      </c>
      <c r="D4" s="22">
        <v>110</v>
      </c>
      <c r="E4" s="84">
        <f aca="true" t="shared" si="1" ref="E4:E14">D4/$D$15*$E$15</f>
        <v>0.5824402907580478</v>
      </c>
      <c r="F4" s="84">
        <f>B4+E4+C4</f>
        <v>16.90644029075805</v>
      </c>
      <c r="G4" s="19">
        <f aca="true" t="shared" si="2" ref="G4:G13">F4*$G$1</f>
        <v>1117.6847676220145</v>
      </c>
      <c r="H4" s="21">
        <f>1101+17</f>
        <v>1118</v>
      </c>
      <c r="I4" s="21">
        <f aca="true" t="shared" si="3" ref="I4:I13">H4-G4</f>
        <v>0.3152323779854669</v>
      </c>
    </row>
    <row r="5" spans="1:9" s="8" customFormat="1" ht="15">
      <c r="A5" s="4" t="s">
        <v>509</v>
      </c>
      <c r="B5" s="22">
        <v>4.96</v>
      </c>
      <c r="C5" s="22">
        <f t="shared" si="0"/>
        <v>0.496</v>
      </c>
      <c r="D5" s="22">
        <v>60</v>
      </c>
      <c r="E5" s="84">
        <f t="shared" si="1"/>
        <v>0.31769470404984423</v>
      </c>
      <c r="F5" s="84">
        <f aca="true" t="shared" si="4" ref="F5:F13">B5+E5+C5</f>
        <v>5.773694704049845</v>
      </c>
      <c r="G5" s="19">
        <f t="shared" si="2"/>
        <v>381.69895688473525</v>
      </c>
      <c r="H5" s="21">
        <f>377+5</f>
        <v>382</v>
      </c>
      <c r="I5" s="21">
        <f t="shared" si="3"/>
        <v>0.30104311526474703</v>
      </c>
    </row>
    <row r="6" spans="1:9" s="8" customFormat="1" ht="15">
      <c r="A6" s="4" t="s">
        <v>519</v>
      </c>
      <c r="B6" s="22">
        <v>8.75</v>
      </c>
      <c r="C6" s="22">
        <f t="shared" si="0"/>
        <v>0.875</v>
      </c>
      <c r="D6" s="116">
        <v>60</v>
      </c>
      <c r="E6" s="84">
        <f t="shared" si="1"/>
        <v>0.31769470404984423</v>
      </c>
      <c r="F6" s="84">
        <f t="shared" si="4"/>
        <v>9.942694704049844</v>
      </c>
      <c r="G6" s="19">
        <f t="shared" si="2"/>
        <v>657.3115468847352</v>
      </c>
      <c r="H6" s="21">
        <v>650</v>
      </c>
      <c r="I6" s="21">
        <f t="shared" si="3"/>
        <v>-7.311546884735208</v>
      </c>
    </row>
    <row r="7" spans="1:9" s="8" customFormat="1" ht="15">
      <c r="A7" s="3" t="s">
        <v>173</v>
      </c>
      <c r="B7" s="22">
        <v>13.25</v>
      </c>
      <c r="C7" s="22">
        <f>B7*0.1</f>
        <v>1.3250000000000002</v>
      </c>
      <c r="D7" s="22">
        <v>40</v>
      </c>
      <c r="E7" s="84">
        <f t="shared" si="1"/>
        <v>0.21179646936656282</v>
      </c>
      <c r="F7" s="84">
        <f>B7+E7+C7</f>
        <v>14.786796469366564</v>
      </c>
      <c r="G7" s="19">
        <f>F7*$G$1</f>
        <v>977.5551145898236</v>
      </c>
      <c r="H7" s="21">
        <f>12+966</f>
        <v>978</v>
      </c>
      <c r="I7" s="21">
        <f>H7-G7</f>
        <v>0.44488541017642547</v>
      </c>
    </row>
    <row r="8" spans="1:9" s="8" customFormat="1" ht="15">
      <c r="A8" s="4" t="s">
        <v>197</v>
      </c>
      <c r="B8" s="22">
        <v>15.09</v>
      </c>
      <c r="C8" s="22">
        <f>B8*0.1</f>
        <v>1.5090000000000001</v>
      </c>
      <c r="D8" s="22">
        <v>1440</v>
      </c>
      <c r="E8" s="84">
        <f t="shared" si="1"/>
        <v>7.624672897196262</v>
      </c>
      <c r="F8" s="84">
        <f>B8+E8+C8</f>
        <v>24.223672897196263</v>
      </c>
      <c r="G8" s="19">
        <f>F8*$G$1</f>
        <v>1601.4270152336449</v>
      </c>
      <c r="H8" s="21">
        <f>1583+18</f>
        <v>1601</v>
      </c>
      <c r="I8" s="21">
        <f>H8-G8</f>
        <v>-0.42701523364485183</v>
      </c>
    </row>
    <row r="9" spans="1:9" s="8" customFormat="1" ht="15">
      <c r="A9" s="4" t="s">
        <v>543</v>
      </c>
      <c r="B9" s="22">
        <v>5.085</v>
      </c>
      <c r="C9" s="22">
        <f>B9*0.1</f>
        <v>0.5085000000000001</v>
      </c>
      <c r="D9" s="22">
        <v>600</v>
      </c>
      <c r="E9" s="84">
        <f t="shared" si="1"/>
        <v>3.1769470404984426</v>
      </c>
      <c r="F9" s="84">
        <f>B9+E9+C9</f>
        <v>8.770447040498443</v>
      </c>
      <c r="G9" s="19">
        <f>F9*$G$1</f>
        <v>579.814253847352</v>
      </c>
      <c r="H9" s="21">
        <f>573+7</f>
        <v>580</v>
      </c>
      <c r="I9" s="21">
        <f>H9-G9</f>
        <v>0.18574615264799377</v>
      </c>
    </row>
    <row r="10" spans="1:9" s="8" customFormat="1" ht="15">
      <c r="A10" s="4" t="s">
        <v>418</v>
      </c>
      <c r="B10" s="22">
        <v>99.36</v>
      </c>
      <c r="C10" s="22">
        <f t="shared" si="0"/>
        <v>9.936</v>
      </c>
      <c r="D10" s="22">
        <v>880</v>
      </c>
      <c r="E10" s="84">
        <f t="shared" si="1"/>
        <v>4.6595223260643825</v>
      </c>
      <c r="F10" s="84">
        <f t="shared" si="4"/>
        <v>113.95552232606437</v>
      </c>
      <c r="G10" s="19">
        <f t="shared" si="2"/>
        <v>7533.599580976115</v>
      </c>
      <c r="H10" s="21">
        <v>7295</v>
      </c>
      <c r="I10" s="21">
        <f t="shared" si="3"/>
        <v>-238.59958097611525</v>
      </c>
    </row>
    <row r="11" spans="1:9" s="8" customFormat="1" ht="15">
      <c r="A11" s="3" t="s">
        <v>141</v>
      </c>
      <c r="B11" s="22">
        <v>10.375</v>
      </c>
      <c r="C11" s="22">
        <f t="shared" si="0"/>
        <v>1.0375</v>
      </c>
      <c r="D11" s="22">
        <v>270</v>
      </c>
      <c r="E11" s="84">
        <f t="shared" si="1"/>
        <v>1.429626168224299</v>
      </c>
      <c r="F11" s="84">
        <f t="shared" si="4"/>
        <v>12.842126168224299</v>
      </c>
      <c r="G11" s="19">
        <f t="shared" si="2"/>
        <v>848.9929609813084</v>
      </c>
      <c r="H11" s="21">
        <f>839+10</f>
        <v>849</v>
      </c>
      <c r="I11" s="21">
        <f t="shared" si="3"/>
        <v>0.00703901869155743</v>
      </c>
    </row>
    <row r="12" spans="1:9" s="8" customFormat="1" ht="15">
      <c r="A12" s="4" t="s">
        <v>453</v>
      </c>
      <c r="B12" s="22">
        <v>6.875</v>
      </c>
      <c r="C12" s="22">
        <f t="shared" si="0"/>
        <v>0.6875</v>
      </c>
      <c r="D12" s="22">
        <v>470</v>
      </c>
      <c r="E12" s="84">
        <f t="shared" si="1"/>
        <v>2.488608515057113</v>
      </c>
      <c r="F12" s="84">
        <f t="shared" si="4"/>
        <v>10.051108515057113</v>
      </c>
      <c r="G12" s="19">
        <f t="shared" si="2"/>
        <v>664.4787839304257</v>
      </c>
      <c r="H12" s="21">
        <f>722+8</f>
        <v>730</v>
      </c>
      <c r="I12" s="21">
        <f t="shared" si="3"/>
        <v>65.52121606957428</v>
      </c>
    </row>
    <row r="13" spans="1:9" s="8" customFormat="1" ht="15">
      <c r="A13" s="4" t="s">
        <v>544</v>
      </c>
      <c r="B13" s="22">
        <v>6.875</v>
      </c>
      <c r="C13" s="22">
        <f t="shared" si="0"/>
        <v>0.6875</v>
      </c>
      <c r="D13" s="22">
        <v>470</v>
      </c>
      <c r="E13" s="84">
        <f t="shared" si="1"/>
        <v>2.488608515057113</v>
      </c>
      <c r="F13" s="84">
        <f t="shared" si="4"/>
        <v>10.051108515057113</v>
      </c>
      <c r="G13" s="19">
        <f t="shared" si="2"/>
        <v>664.4787839304257</v>
      </c>
      <c r="H13" s="21">
        <f>657+7</f>
        <v>664</v>
      </c>
      <c r="I13" s="21">
        <f t="shared" si="3"/>
        <v>-0.4787839304257204</v>
      </c>
    </row>
    <row r="14" spans="1:10" s="8" customFormat="1" ht="15">
      <c r="A14" s="4" t="s">
        <v>224</v>
      </c>
      <c r="B14" s="85"/>
      <c r="C14" s="85"/>
      <c r="D14" s="22">
        <v>5230</v>
      </c>
      <c r="E14" s="84">
        <f t="shared" si="1"/>
        <v>27.692388369678092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185.46</v>
      </c>
      <c r="C15" s="86"/>
      <c r="D15" s="86">
        <f>SUM(D4:D14)</f>
        <v>9630</v>
      </c>
      <c r="E15" s="86">
        <v>50.99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205</v>
      </c>
      <c r="B1" s="10">
        <v>42091</v>
      </c>
      <c r="C1" s="10"/>
      <c r="D1" s="10"/>
      <c r="E1" s="10"/>
      <c r="F1" s="11" t="s">
        <v>206</v>
      </c>
      <c r="G1" s="106">
        <v>64.39</v>
      </c>
      <c r="H1" s="8" t="s">
        <v>207</v>
      </c>
    </row>
    <row r="2" s="8" customFormat="1" ht="23.25" customHeight="1">
      <c r="A2" s="33" t="s">
        <v>547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548</v>
      </c>
      <c r="B4" s="22">
        <v>43.84</v>
      </c>
      <c r="C4" s="22">
        <f aca="true" t="shared" si="0" ref="C4:C11">B4*0.1</f>
        <v>4.384</v>
      </c>
      <c r="D4" s="22">
        <v>1010</v>
      </c>
      <c r="E4" s="84">
        <f aca="true" t="shared" si="1" ref="E4:E12">D4/$D$13*$E$13</f>
        <v>5.32298708010336</v>
      </c>
      <c r="F4" s="84">
        <f>B4+E4+C4</f>
        <v>53.546987080103364</v>
      </c>
      <c r="G4" s="19">
        <f aca="true" t="shared" si="2" ref="G4:G11">F4*$G$1</f>
        <v>3447.8904980878556</v>
      </c>
      <c r="H4" s="21">
        <f>3418+30</f>
        <v>3448</v>
      </c>
      <c r="I4" s="21">
        <f aca="true" t="shared" si="3" ref="I4:I11">H4-G4</f>
        <v>0.10950191214442384</v>
      </c>
    </row>
    <row r="5" spans="1:9" s="8" customFormat="1" ht="15">
      <c r="A5" s="4" t="s">
        <v>95</v>
      </c>
      <c r="B5" s="22">
        <v>13.25</v>
      </c>
      <c r="C5" s="22">
        <f t="shared" si="0"/>
        <v>1.3250000000000002</v>
      </c>
      <c r="D5" s="22">
        <v>60</v>
      </c>
      <c r="E5" s="84">
        <f t="shared" si="1"/>
        <v>0.3162170542635659</v>
      </c>
      <c r="F5" s="84">
        <f aca="true" t="shared" si="4" ref="F5:F11">B5+E5+C5</f>
        <v>14.891217054263567</v>
      </c>
      <c r="G5" s="19">
        <f t="shared" si="2"/>
        <v>958.8454661240311</v>
      </c>
      <c r="H5" s="21">
        <v>930</v>
      </c>
      <c r="I5" s="21">
        <f t="shared" si="3"/>
        <v>-28.845466124031077</v>
      </c>
    </row>
    <row r="6" spans="1:9" s="8" customFormat="1" ht="15">
      <c r="A6" s="4" t="s">
        <v>549</v>
      </c>
      <c r="B6" s="22">
        <v>19.92</v>
      </c>
      <c r="C6" s="22">
        <f t="shared" si="0"/>
        <v>1.9920000000000002</v>
      </c>
      <c r="D6" s="116">
        <v>120</v>
      </c>
      <c r="E6" s="84">
        <f t="shared" si="1"/>
        <v>0.6324341085271318</v>
      </c>
      <c r="F6" s="84">
        <f t="shared" si="4"/>
        <v>22.544434108527135</v>
      </c>
      <c r="G6" s="19">
        <f t="shared" si="2"/>
        <v>1451.6361122480623</v>
      </c>
      <c r="H6" s="21">
        <v>1450</v>
      </c>
      <c r="I6" s="21">
        <f t="shared" si="3"/>
        <v>-1.636112248062318</v>
      </c>
    </row>
    <row r="7" spans="1:9" s="8" customFormat="1" ht="15">
      <c r="A7" s="3" t="s">
        <v>418</v>
      </c>
      <c r="B7" s="22">
        <v>111.78</v>
      </c>
      <c r="C7" s="22">
        <f>B7*0.1</f>
        <v>11.178</v>
      </c>
      <c r="D7" s="22">
        <v>990</v>
      </c>
      <c r="E7" s="84">
        <f t="shared" si="1"/>
        <v>5.217581395348837</v>
      </c>
      <c r="F7" s="84">
        <f>B7+E7+C7</f>
        <v>128.17558139534884</v>
      </c>
      <c r="G7" s="19">
        <f>F7*$G$1</f>
        <v>8253.225686046511</v>
      </c>
      <c r="H7" s="21">
        <v>8270</v>
      </c>
      <c r="I7" s="21">
        <f>H7-G7</f>
        <v>16.774313953488672</v>
      </c>
    </row>
    <row r="8" spans="1:9" s="8" customFormat="1" ht="15">
      <c r="A8" s="4" t="s">
        <v>550</v>
      </c>
      <c r="B8" s="22">
        <v>5.085</v>
      </c>
      <c r="C8" s="22">
        <f>B8*0.1</f>
        <v>0.5085000000000001</v>
      </c>
      <c r="D8" s="22">
        <v>575</v>
      </c>
      <c r="E8" s="84">
        <f t="shared" si="1"/>
        <v>3.0304134366925064</v>
      </c>
      <c r="F8" s="84">
        <f>B8+E8+C8</f>
        <v>8.623913436692506</v>
      </c>
      <c r="G8" s="19">
        <f>F8*$G$1</f>
        <v>555.2937861886305</v>
      </c>
      <c r="H8" s="21">
        <f>551+4</f>
        <v>555</v>
      </c>
      <c r="I8" s="21">
        <f>H8-G8</f>
        <v>-0.29378618863052</v>
      </c>
    </row>
    <row r="9" spans="1:9" s="8" customFormat="1" ht="15">
      <c r="A9" s="4" t="s">
        <v>190</v>
      </c>
      <c r="B9" s="22">
        <v>3.25</v>
      </c>
      <c r="C9" s="22">
        <f>B9*0.1</f>
        <v>0.325</v>
      </c>
      <c r="D9" s="22">
        <v>100</v>
      </c>
      <c r="E9" s="84">
        <f t="shared" si="1"/>
        <v>0.5270284237726098</v>
      </c>
      <c r="F9" s="84">
        <f>B9+E9+C9</f>
        <v>4.10202842377261</v>
      </c>
      <c r="G9" s="19">
        <f>F9*$G$1</f>
        <v>264.1296102067183</v>
      </c>
      <c r="H9" s="21">
        <f>262+2</f>
        <v>264</v>
      </c>
      <c r="I9" s="21">
        <f>H9-G9</f>
        <v>-0.12961020671832557</v>
      </c>
    </row>
    <row r="10" spans="1:10" s="8" customFormat="1" ht="15">
      <c r="A10" s="4" t="s">
        <v>551</v>
      </c>
      <c r="B10" s="22">
        <v>9.92</v>
      </c>
      <c r="C10" s="22">
        <f t="shared" si="0"/>
        <v>0.992</v>
      </c>
      <c r="D10" s="22">
        <v>40</v>
      </c>
      <c r="E10" s="84">
        <f t="shared" si="1"/>
        <v>0.21081136950904392</v>
      </c>
      <c r="F10" s="84">
        <f t="shared" si="4"/>
        <v>11.122811369509044</v>
      </c>
      <c r="G10" s="19">
        <f t="shared" si="2"/>
        <v>716.1978240826874</v>
      </c>
      <c r="H10" s="21">
        <f>710+6</f>
        <v>716</v>
      </c>
      <c r="I10" s="21">
        <f t="shared" si="3"/>
        <v>-0.19782408268736162</v>
      </c>
      <c r="J10" s="118" t="s">
        <v>553</v>
      </c>
    </row>
    <row r="11" spans="1:9" s="8" customFormat="1" ht="15">
      <c r="A11" s="3" t="s">
        <v>552</v>
      </c>
      <c r="B11" s="22">
        <v>37.75</v>
      </c>
      <c r="C11" s="22">
        <f t="shared" si="0"/>
        <v>3.7750000000000004</v>
      </c>
      <c r="D11" s="22">
        <v>1030</v>
      </c>
      <c r="E11" s="84">
        <f t="shared" si="1"/>
        <v>5.428392764857881</v>
      </c>
      <c r="F11" s="84">
        <f t="shared" si="4"/>
        <v>46.95339276485788</v>
      </c>
      <c r="G11" s="19">
        <f t="shared" si="2"/>
        <v>3023.328960129199</v>
      </c>
      <c r="H11" s="21">
        <f>2991+35</f>
        <v>3026</v>
      </c>
      <c r="I11" s="21">
        <f t="shared" si="3"/>
        <v>2.671039870800996</v>
      </c>
    </row>
    <row r="12" spans="1:10" s="8" customFormat="1" ht="15">
      <c r="A12" s="4" t="s">
        <v>224</v>
      </c>
      <c r="B12" s="85"/>
      <c r="C12" s="85"/>
      <c r="D12" s="22">
        <v>5750</v>
      </c>
      <c r="E12" s="84">
        <f t="shared" si="1"/>
        <v>30.304134366925066</v>
      </c>
      <c r="F12" s="85"/>
      <c r="G12" s="28"/>
      <c r="H12" s="28"/>
      <c r="I12" s="28"/>
      <c r="J12" s="32"/>
    </row>
    <row r="13" spans="1:9" s="8" customFormat="1" ht="15">
      <c r="A13" s="25"/>
      <c r="B13" s="86">
        <f>SUM(B4:B12)</f>
        <v>244.79500000000002</v>
      </c>
      <c r="C13" s="86"/>
      <c r="D13" s="86">
        <f>SUM(D4:D12)</f>
        <v>9675</v>
      </c>
      <c r="E13" s="86">
        <v>50.99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7.75" customHeight="1">
      <c r="A17" s="107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205</v>
      </c>
      <c r="B1" s="10">
        <v>41248</v>
      </c>
      <c r="C1" s="10"/>
      <c r="D1" s="11" t="s">
        <v>206</v>
      </c>
      <c r="E1" s="12">
        <v>40.5</v>
      </c>
      <c r="F1" s="8" t="s">
        <v>207</v>
      </c>
    </row>
    <row r="2" s="8" customFormat="1" ht="23.25" customHeight="1">
      <c r="A2" s="33"/>
    </row>
    <row r="3" spans="1:9" s="15" customFormat="1" ht="45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61</v>
      </c>
      <c r="B4" s="16">
        <v>203.62000000000006</v>
      </c>
      <c r="C4" s="16">
        <f>B4*0.95</f>
        <v>193.43900000000005</v>
      </c>
      <c r="D4" s="16">
        <f>B4/$B$7*$D$7</f>
        <v>18.331086173687297</v>
      </c>
      <c r="E4" s="17">
        <f>(C4+D4)*$E$1</f>
        <v>8576.688490034338</v>
      </c>
      <c r="F4" s="18"/>
      <c r="G4" s="19">
        <f>E4-F4</f>
        <v>8576.688490034338</v>
      </c>
      <c r="H4" s="22">
        <f>3500+5156</f>
        <v>8656</v>
      </c>
      <c r="I4" s="21">
        <f>H4-G4+F4</f>
        <v>79.31150996566248</v>
      </c>
    </row>
    <row r="5" spans="1:10" s="8" customFormat="1" ht="15">
      <c r="A5" s="4" t="s">
        <v>128</v>
      </c>
      <c r="B5" s="16">
        <v>21.3</v>
      </c>
      <c r="C5" s="16">
        <f>B5*0.95</f>
        <v>20.235</v>
      </c>
      <c r="D5" s="16">
        <f>B5/$B$7*$D$7</f>
        <v>1.9175529687630846</v>
      </c>
      <c r="E5" s="17">
        <f>(C5+D5)*$E$1</f>
        <v>897.1783952349049</v>
      </c>
      <c r="F5" s="18"/>
      <c r="G5" s="19">
        <f>E5-F5</f>
        <v>897.1783952349049</v>
      </c>
      <c r="H5" s="22">
        <v>889</v>
      </c>
      <c r="I5" s="21">
        <f>H5-G5</f>
        <v>-8.178395234904883</v>
      </c>
      <c r="J5" s="33"/>
    </row>
    <row r="6" spans="1:10" s="8" customFormat="1" ht="15">
      <c r="A6" s="4" t="s">
        <v>176</v>
      </c>
      <c r="B6" s="16">
        <v>13.9</v>
      </c>
      <c r="C6" s="16">
        <f>B6*0.95</f>
        <v>13.205</v>
      </c>
      <c r="D6" s="16">
        <f>B6/$B$7*$D$7</f>
        <v>1.2513608575496185</v>
      </c>
      <c r="E6" s="17">
        <f>(C6+D6)*$E$1</f>
        <v>585.4826147307596</v>
      </c>
      <c r="F6" s="18"/>
      <c r="G6" s="19">
        <f>E6-F6</f>
        <v>585.4826147307596</v>
      </c>
      <c r="H6" s="22">
        <v>1062</v>
      </c>
      <c r="I6" s="21">
        <f>H6-G6</f>
        <v>476.51738526924044</v>
      </c>
      <c r="J6" s="33"/>
    </row>
    <row r="7" spans="1:9" s="8" customFormat="1" ht="15">
      <c r="A7" s="25"/>
      <c r="B7" s="26">
        <f>SUM(B4:B6)</f>
        <v>238.82000000000008</v>
      </c>
      <c r="C7" s="26">
        <f>SUM(C4:C6)</f>
        <v>226.87900000000005</v>
      </c>
      <c r="D7" s="26">
        <v>21.5</v>
      </c>
      <c r="E7" s="27"/>
      <c r="F7" s="28"/>
      <c r="G7" s="28"/>
      <c r="H7" s="28"/>
      <c r="I7" s="28"/>
    </row>
    <row r="9" ht="30" customHeight="1"/>
    <row r="10" ht="23.25">
      <c r="A10" s="30"/>
    </row>
    <row r="11" ht="15">
      <c r="A11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42098</v>
      </c>
      <c r="C1" s="10"/>
      <c r="D1" s="10"/>
      <c r="E1" s="10"/>
      <c r="F1" s="11" t="s">
        <v>206</v>
      </c>
      <c r="G1" s="106">
        <v>60.674</v>
      </c>
      <c r="H1" s="8" t="s">
        <v>207</v>
      </c>
    </row>
    <row r="2" s="8" customFormat="1" ht="23.25" customHeight="1">
      <c r="A2" s="33" t="s">
        <v>554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173</v>
      </c>
      <c r="B4" s="22">
        <v>9.08</v>
      </c>
      <c r="C4" s="22">
        <f aca="true" t="shared" si="0" ref="C4:C11">B4*0.1</f>
        <v>0.908</v>
      </c>
      <c r="D4" s="22">
        <v>60</v>
      </c>
      <c r="E4" s="84">
        <f>D4/$D$15*$E$15</f>
        <v>0.30045112781954886</v>
      </c>
      <c r="F4" s="84">
        <f>B4+E4+C4</f>
        <v>10.288451127819549</v>
      </c>
      <c r="G4" s="19">
        <f aca="true" t="shared" si="1" ref="G4:G11">F4*$G$1</f>
        <v>624.2414837293234</v>
      </c>
      <c r="H4" s="21">
        <v>650</v>
      </c>
      <c r="I4" s="21">
        <f aca="true" t="shared" si="2" ref="I4:I11">H4-G4</f>
        <v>25.758516270676637</v>
      </c>
    </row>
    <row r="5" spans="1:10" s="8" customFormat="1" ht="15">
      <c r="A5" s="4" t="s">
        <v>555</v>
      </c>
      <c r="B5" s="22">
        <v>14.83</v>
      </c>
      <c r="C5" s="22">
        <f t="shared" si="0"/>
        <v>1.483</v>
      </c>
      <c r="D5" s="22">
        <v>920</v>
      </c>
      <c r="E5" s="84">
        <f aca="true" t="shared" si="3" ref="E5:E14">D5/$D$15*$E$15</f>
        <v>4.606917293233082</v>
      </c>
      <c r="F5" s="84">
        <f aca="true" t="shared" si="4" ref="F5:F11">B5+E5+C5</f>
        <v>20.919917293233084</v>
      </c>
      <c r="G5" s="19">
        <f t="shared" si="1"/>
        <v>1269.295061849624</v>
      </c>
      <c r="H5" s="21">
        <f>1319-50</f>
        <v>1269</v>
      </c>
      <c r="I5" s="21">
        <f t="shared" si="2"/>
        <v>-0.29506184962406223</v>
      </c>
      <c r="J5" s="112" t="s">
        <v>574</v>
      </c>
    </row>
    <row r="6" spans="1:9" s="8" customFormat="1" ht="15">
      <c r="A6" s="4" t="s">
        <v>414</v>
      </c>
      <c r="B6" s="22">
        <v>32.68</v>
      </c>
      <c r="C6" s="22">
        <f t="shared" si="0"/>
        <v>3.2680000000000002</v>
      </c>
      <c r="D6" s="116">
        <v>1600</v>
      </c>
      <c r="E6" s="84">
        <f t="shared" si="3"/>
        <v>8.012030075187969</v>
      </c>
      <c r="F6" s="84">
        <f t="shared" si="4"/>
        <v>43.96003007518797</v>
      </c>
      <c r="G6" s="19">
        <f t="shared" si="1"/>
        <v>2667.230864781955</v>
      </c>
      <c r="H6" s="21">
        <v>2762</v>
      </c>
      <c r="I6" s="21">
        <f t="shared" si="2"/>
        <v>94.769135218045</v>
      </c>
    </row>
    <row r="7" spans="1:10" s="8" customFormat="1" ht="15">
      <c r="A7" s="3" t="s">
        <v>556</v>
      </c>
      <c r="B7" s="22">
        <v>13.25</v>
      </c>
      <c r="C7" s="22">
        <f>B7*0.1</f>
        <v>1.3250000000000002</v>
      </c>
      <c r="D7" s="22">
        <v>460</v>
      </c>
      <c r="E7" s="84">
        <f t="shared" si="3"/>
        <v>2.303458646616541</v>
      </c>
      <c r="F7" s="84">
        <f>B7+E7+C7</f>
        <v>16.87845864661654</v>
      </c>
      <c r="G7" s="19">
        <f>F7*$G$1</f>
        <v>1024.083599924812</v>
      </c>
      <c r="H7" s="21">
        <f>1060-36</f>
        <v>1024</v>
      </c>
      <c r="I7" s="21">
        <f>H7-G7</f>
        <v>-0.08359992481200607</v>
      </c>
      <c r="J7" s="112" t="s">
        <v>575</v>
      </c>
    </row>
    <row r="8" spans="1:9" s="8" customFormat="1" ht="15">
      <c r="A8" s="4" t="s">
        <v>557</v>
      </c>
      <c r="B8" s="22">
        <v>26.75</v>
      </c>
      <c r="C8" s="22">
        <f>B8*0.1</f>
        <v>2.6750000000000003</v>
      </c>
      <c r="D8" s="22">
        <v>2300</v>
      </c>
      <c r="E8" s="84">
        <f t="shared" si="3"/>
        <v>11.517293233082706</v>
      </c>
      <c r="F8" s="84">
        <f>B8+E8+C8</f>
        <v>40.9422932330827</v>
      </c>
      <c r="G8" s="19">
        <f>F8*$G$1</f>
        <v>2484.1326996240596</v>
      </c>
      <c r="H8" s="21">
        <v>2582</v>
      </c>
      <c r="I8" s="21">
        <f>H8-G8</f>
        <v>97.86730037594043</v>
      </c>
    </row>
    <row r="9" spans="1:9" s="8" customFormat="1" ht="15">
      <c r="A9" s="4" t="s">
        <v>418</v>
      </c>
      <c r="B9" s="22">
        <v>88.6</v>
      </c>
      <c r="C9" s="22">
        <f>B9*0.1</f>
        <v>8.86</v>
      </c>
      <c r="D9" s="22">
        <v>1650</v>
      </c>
      <c r="E9" s="84">
        <f t="shared" si="3"/>
        <v>8.262406015037593</v>
      </c>
      <c r="F9" s="84">
        <f>B9+E9+C9</f>
        <v>105.72240601503759</v>
      </c>
      <c r="G9" s="19">
        <f>F9*$G$1</f>
        <v>6414.601262556391</v>
      </c>
      <c r="H9" s="21">
        <v>6732</v>
      </c>
      <c r="I9" s="21">
        <f>H9-G9</f>
        <v>317.3987374436092</v>
      </c>
    </row>
    <row r="10" spans="1:10" s="8" customFormat="1" ht="15">
      <c r="A10" s="4" t="s">
        <v>115</v>
      </c>
      <c r="B10" s="22">
        <v>8.25</v>
      </c>
      <c r="C10" s="22">
        <f t="shared" si="0"/>
        <v>0.8250000000000001</v>
      </c>
      <c r="D10" s="22">
        <v>240</v>
      </c>
      <c r="E10" s="84">
        <f t="shared" si="3"/>
        <v>1.2018045112781954</v>
      </c>
      <c r="F10" s="84">
        <f t="shared" si="4"/>
        <v>10.276804511278195</v>
      </c>
      <c r="G10" s="19">
        <f t="shared" si="1"/>
        <v>623.5348369172932</v>
      </c>
      <c r="H10" s="21">
        <v>648</v>
      </c>
      <c r="I10" s="21">
        <f t="shared" si="2"/>
        <v>24.465163082706795</v>
      </c>
      <c r="J10" s="118"/>
    </row>
    <row r="11" spans="1:10" s="8" customFormat="1" ht="15">
      <c r="A11" s="3" t="s">
        <v>558</v>
      </c>
      <c r="B11" s="22">
        <v>13.25</v>
      </c>
      <c r="C11" s="22">
        <f t="shared" si="0"/>
        <v>1.3250000000000002</v>
      </c>
      <c r="D11" s="22">
        <v>60</v>
      </c>
      <c r="E11" s="84">
        <f t="shared" si="3"/>
        <v>0.30045112781954886</v>
      </c>
      <c r="F11" s="84">
        <f t="shared" si="4"/>
        <v>14.875451127819549</v>
      </c>
      <c r="G11" s="19">
        <f t="shared" si="1"/>
        <v>902.5531217293233</v>
      </c>
      <c r="H11" s="21">
        <f>937-10</f>
        <v>927</v>
      </c>
      <c r="I11" s="21">
        <f t="shared" si="2"/>
        <v>24.446878270676734</v>
      </c>
      <c r="J11" s="112" t="s">
        <v>595</v>
      </c>
    </row>
    <row r="12" spans="1:9" s="8" customFormat="1" ht="15">
      <c r="A12" s="4" t="s">
        <v>559</v>
      </c>
      <c r="B12" s="22">
        <v>8.25</v>
      </c>
      <c r="C12" s="22">
        <f>B12*0.1</f>
        <v>0.8250000000000001</v>
      </c>
      <c r="D12" s="22">
        <v>60</v>
      </c>
      <c r="E12" s="84">
        <f>D12/$D$15*$E$15</f>
        <v>0.30045112781954886</v>
      </c>
      <c r="F12" s="84">
        <f>B12+E12+C12</f>
        <v>9.375451127819549</v>
      </c>
      <c r="G12" s="19">
        <f>F12*$G$1</f>
        <v>568.8461217293233</v>
      </c>
      <c r="H12" s="21">
        <v>590</v>
      </c>
      <c r="I12" s="21">
        <f>H12-G12</f>
        <v>21.153878270676728</v>
      </c>
    </row>
    <row r="13" spans="1:9" s="8" customFormat="1" ht="15">
      <c r="A13" s="4" t="s">
        <v>560</v>
      </c>
      <c r="B13" s="22">
        <v>22.59</v>
      </c>
      <c r="C13" s="22">
        <f>B13*0.1</f>
        <v>2.259</v>
      </c>
      <c r="D13" s="22">
        <v>960</v>
      </c>
      <c r="E13" s="84">
        <f>D13/$D$15*$E$15</f>
        <v>4.807218045112782</v>
      </c>
      <c r="F13" s="84">
        <f>B13+E13+C13</f>
        <v>29.65621804511278</v>
      </c>
      <c r="G13" s="19">
        <f>F13*$G$1</f>
        <v>1799.3613736691727</v>
      </c>
      <c r="H13" s="21">
        <v>1863</v>
      </c>
      <c r="I13" s="21">
        <f>H13-G13</f>
        <v>63.638626330827265</v>
      </c>
    </row>
    <row r="14" spans="1:10" s="8" customFormat="1" ht="15">
      <c r="A14" s="4" t="s">
        <v>224</v>
      </c>
      <c r="B14" s="85"/>
      <c r="C14" s="85"/>
      <c r="D14" s="22">
        <v>4990</v>
      </c>
      <c r="E14" s="84">
        <f t="shared" si="3"/>
        <v>24.98751879699248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237.53</v>
      </c>
      <c r="C15" s="86"/>
      <c r="D15" s="86">
        <f>SUM(D4:D14)</f>
        <v>13300</v>
      </c>
      <c r="E15" s="86">
        <v>66.6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42104</v>
      </c>
      <c r="C1" s="10"/>
      <c r="D1" s="10"/>
      <c r="E1" s="10"/>
      <c r="F1" s="11" t="s">
        <v>206</v>
      </c>
      <c r="G1" s="106">
        <v>56.585</v>
      </c>
      <c r="H1" s="8" t="s">
        <v>207</v>
      </c>
    </row>
    <row r="2" s="8" customFormat="1" ht="23.25" customHeight="1">
      <c r="A2" s="33" t="s">
        <v>561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495</v>
      </c>
      <c r="B4" s="22">
        <v>15.67</v>
      </c>
      <c r="C4" s="22">
        <f aca="true" t="shared" si="0" ref="C4:C11">B4*0.1</f>
        <v>1.5670000000000002</v>
      </c>
      <c r="D4" s="22">
        <v>400</v>
      </c>
      <c r="E4" s="84">
        <f aca="true" t="shared" si="1" ref="E4:E17">D4/$D$18*$E$18</f>
        <v>2.0197119029567854</v>
      </c>
      <c r="F4" s="84">
        <f>B4+E4+C4</f>
        <v>19.256711902956784</v>
      </c>
      <c r="G4" s="19">
        <f aca="true" t="shared" si="2" ref="G4:G11">F4*$G$1</f>
        <v>1089.6410430288097</v>
      </c>
      <c r="H4" s="21">
        <v>1069</v>
      </c>
      <c r="I4" s="21">
        <f aca="true" t="shared" si="3" ref="I4:I11">H4-G4</f>
        <v>-20.64104302880969</v>
      </c>
    </row>
    <row r="5" spans="1:9" s="8" customFormat="1" ht="15">
      <c r="A5" s="4" t="s">
        <v>118</v>
      </c>
      <c r="B5" s="22">
        <v>14.92</v>
      </c>
      <c r="C5" s="22">
        <f t="shared" si="0"/>
        <v>1.492</v>
      </c>
      <c r="D5" s="22">
        <v>270</v>
      </c>
      <c r="E5" s="84">
        <f t="shared" si="1"/>
        <v>1.36330553449583</v>
      </c>
      <c r="F5" s="84">
        <f aca="true" t="shared" si="4" ref="F5:F11">B5+E5+C5</f>
        <v>17.775305534495832</v>
      </c>
      <c r="G5" s="19">
        <f t="shared" si="2"/>
        <v>1005.8156636694466</v>
      </c>
      <c r="H5" s="21">
        <f>935+26</f>
        <v>961</v>
      </c>
      <c r="I5" s="21">
        <f t="shared" si="3"/>
        <v>-44.81566366944662</v>
      </c>
    </row>
    <row r="6" spans="1:9" s="8" customFormat="1" ht="15">
      <c r="A6" s="4" t="s">
        <v>523</v>
      </c>
      <c r="B6" s="22">
        <v>53.16</v>
      </c>
      <c r="C6" s="22">
        <f t="shared" si="0"/>
        <v>5.316</v>
      </c>
      <c r="D6" s="22">
        <v>640</v>
      </c>
      <c r="E6" s="84">
        <f t="shared" si="1"/>
        <v>3.2315390447308565</v>
      </c>
      <c r="F6" s="84">
        <f t="shared" si="4"/>
        <v>61.70753904473086</v>
      </c>
      <c r="G6" s="19">
        <f t="shared" si="2"/>
        <v>3491.721096846096</v>
      </c>
      <c r="H6" s="21">
        <f>3352+140</f>
        <v>3492</v>
      </c>
      <c r="I6" s="21">
        <f t="shared" si="3"/>
        <v>0.2789031539041389</v>
      </c>
    </row>
    <row r="7" spans="1:9" s="8" customFormat="1" ht="15">
      <c r="A7" s="3" t="s">
        <v>384</v>
      </c>
      <c r="B7" s="22">
        <v>26.07</v>
      </c>
      <c r="C7" s="22">
        <f>B7*0.1</f>
        <v>2.607</v>
      </c>
      <c r="D7" s="22">
        <v>280</v>
      </c>
      <c r="E7" s="84">
        <f t="shared" si="1"/>
        <v>1.4137983320697498</v>
      </c>
      <c r="F7" s="84">
        <f>B7+E7+C7</f>
        <v>30.09079833206975</v>
      </c>
      <c r="G7" s="19">
        <f>F7*$G$1</f>
        <v>1702.6878236201667</v>
      </c>
      <c r="H7" s="21">
        <v>1702</v>
      </c>
      <c r="I7" s="21">
        <f>H7-G7</f>
        <v>-0.6878236201666823</v>
      </c>
    </row>
    <row r="8" spans="1:9" s="8" customFormat="1" ht="15">
      <c r="A8" s="4" t="s">
        <v>568</v>
      </c>
      <c r="B8" s="22">
        <v>24</v>
      </c>
      <c r="C8" s="22">
        <f>B8*0.1</f>
        <v>2.4000000000000004</v>
      </c>
      <c r="D8" s="22">
        <v>140</v>
      </c>
      <c r="E8" s="84">
        <f t="shared" si="1"/>
        <v>0.7068991660348749</v>
      </c>
      <c r="F8" s="84">
        <f>B8+E8+C8</f>
        <v>27.10689916603488</v>
      </c>
      <c r="G8" s="19">
        <f>F8*$G$1</f>
        <v>1533.8438893100836</v>
      </c>
      <c r="H8" s="21">
        <f>1502+32</f>
        <v>1534</v>
      </c>
      <c r="I8" s="21">
        <f>H8-G8</f>
        <v>0.1561106899164315</v>
      </c>
    </row>
    <row r="9" spans="1:9" s="8" customFormat="1" ht="15">
      <c r="A9" s="4" t="s">
        <v>565</v>
      </c>
      <c r="B9" s="22">
        <v>8.25</v>
      </c>
      <c r="C9" s="22">
        <f>B9*0.1</f>
        <v>0.8250000000000001</v>
      </c>
      <c r="D9" s="22">
        <v>60</v>
      </c>
      <c r="E9" s="84">
        <f t="shared" si="1"/>
        <v>0.3029567854435178</v>
      </c>
      <c r="F9" s="84">
        <f>B9+E9+C9</f>
        <v>9.377956785443518</v>
      </c>
      <c r="G9" s="19">
        <f>F9*$G$1</f>
        <v>530.6516847043215</v>
      </c>
      <c r="H9" s="21">
        <v>520</v>
      </c>
      <c r="I9" s="21">
        <f>H9-G9</f>
        <v>-10.651684704321497</v>
      </c>
    </row>
    <row r="10" spans="1:10" s="8" customFormat="1" ht="15">
      <c r="A10" s="4" t="s">
        <v>418</v>
      </c>
      <c r="B10" s="22">
        <v>62.1</v>
      </c>
      <c r="C10" s="22">
        <f t="shared" si="0"/>
        <v>6.210000000000001</v>
      </c>
      <c r="D10" s="22">
        <v>550</v>
      </c>
      <c r="E10" s="84">
        <f t="shared" si="1"/>
        <v>2.77710386656558</v>
      </c>
      <c r="F10" s="84">
        <f t="shared" si="4"/>
        <v>71.08710386656557</v>
      </c>
      <c r="G10" s="19">
        <f t="shared" si="2"/>
        <v>4022.4637722896127</v>
      </c>
      <c r="H10" s="21">
        <v>3696</v>
      </c>
      <c r="I10" s="21">
        <f t="shared" si="3"/>
        <v>-326.46377228961273</v>
      </c>
      <c r="J10" s="118"/>
    </row>
    <row r="11" spans="1:9" s="8" customFormat="1" ht="15">
      <c r="A11" s="3" t="s">
        <v>168</v>
      </c>
      <c r="B11" s="22">
        <v>10.42</v>
      </c>
      <c r="C11" s="22">
        <f t="shared" si="0"/>
        <v>1.042</v>
      </c>
      <c r="D11" s="22">
        <v>450</v>
      </c>
      <c r="E11" s="84">
        <f t="shared" si="1"/>
        <v>2.2721758908263836</v>
      </c>
      <c r="F11" s="84">
        <f t="shared" si="4"/>
        <v>13.734175890826384</v>
      </c>
      <c r="G11" s="19">
        <f t="shared" si="2"/>
        <v>777.148342782411</v>
      </c>
      <c r="H11" s="21">
        <v>763</v>
      </c>
      <c r="I11" s="21">
        <f t="shared" si="3"/>
        <v>-14.148342782410964</v>
      </c>
    </row>
    <row r="12" spans="1:9" s="8" customFormat="1" ht="15">
      <c r="A12" s="4" t="s">
        <v>569</v>
      </c>
      <c r="B12" s="22">
        <v>21.33</v>
      </c>
      <c r="C12" s="22">
        <f>B12*0.1</f>
        <v>2.133</v>
      </c>
      <c r="D12" s="22">
        <v>260</v>
      </c>
      <c r="E12" s="84">
        <f t="shared" si="1"/>
        <v>1.3128127369219103</v>
      </c>
      <c r="F12" s="84">
        <f>B12+E12+C12</f>
        <v>24.775812736921907</v>
      </c>
      <c r="G12" s="19">
        <f>F12*$G$1</f>
        <v>1401.939363718726</v>
      </c>
      <c r="H12" s="21">
        <f>1356+46</f>
        <v>1402</v>
      </c>
      <c r="I12" s="21">
        <f>H12-G12</f>
        <v>0.06063628127390075</v>
      </c>
    </row>
    <row r="13" spans="1:9" s="8" customFormat="1" ht="15">
      <c r="A13" s="4" t="s">
        <v>570</v>
      </c>
      <c r="B13" s="22">
        <v>43.14</v>
      </c>
      <c r="C13" s="22">
        <f>B13*0.1</f>
        <v>4.314</v>
      </c>
      <c r="D13" s="22">
        <v>1190</v>
      </c>
      <c r="E13" s="84">
        <f t="shared" si="1"/>
        <v>6.008642911296437</v>
      </c>
      <c r="F13" s="84">
        <f>B13+E13+C13</f>
        <v>53.462642911296435</v>
      </c>
      <c r="G13" s="19">
        <f>F13*$G$1</f>
        <v>3025.183649135709</v>
      </c>
      <c r="H13" s="119">
        <f>2959+66</f>
        <v>3025</v>
      </c>
      <c r="I13" s="21">
        <f>H13-G13</f>
        <v>-0.18364913570894714</v>
      </c>
    </row>
    <row r="14" spans="1:9" s="8" customFormat="1" ht="15">
      <c r="A14" s="4" t="s">
        <v>127</v>
      </c>
      <c r="B14" s="22">
        <v>31.58</v>
      </c>
      <c r="C14" s="22">
        <f>B14*0.1</f>
        <v>3.158</v>
      </c>
      <c r="D14" s="22">
        <v>200</v>
      </c>
      <c r="E14" s="84">
        <f t="shared" si="1"/>
        <v>1.0098559514783927</v>
      </c>
      <c r="F14" s="84">
        <f>B14+E14+C14</f>
        <v>35.74785595147839</v>
      </c>
      <c r="G14" s="19">
        <f>F14*$G$1</f>
        <v>2022.792429014405</v>
      </c>
      <c r="H14" s="21">
        <v>1980</v>
      </c>
      <c r="I14" s="21">
        <f>H14-G14</f>
        <v>-42.79242901440489</v>
      </c>
    </row>
    <row r="15" spans="1:9" s="8" customFormat="1" ht="15">
      <c r="A15" s="4" t="s">
        <v>571</v>
      </c>
      <c r="B15" s="22">
        <v>9.58</v>
      </c>
      <c r="C15" s="22">
        <f>B15*0.1</f>
        <v>0.9580000000000001</v>
      </c>
      <c r="D15" s="22">
        <v>450</v>
      </c>
      <c r="E15" s="84">
        <f t="shared" si="1"/>
        <v>2.2721758908263836</v>
      </c>
      <c r="F15" s="84">
        <f>B15+E15+C15</f>
        <v>12.810175890826384</v>
      </c>
      <c r="G15" s="19">
        <f>F15*$G$1</f>
        <v>724.863802782411</v>
      </c>
      <c r="H15" s="21">
        <f>712+13</f>
        <v>725</v>
      </c>
      <c r="I15" s="21">
        <f>H15-G15</f>
        <v>0.1361972175890287</v>
      </c>
    </row>
    <row r="16" spans="1:9" s="8" customFormat="1" ht="15">
      <c r="A16" t="s">
        <v>572</v>
      </c>
      <c r="B16" s="22">
        <v>23.66</v>
      </c>
      <c r="C16" s="22">
        <f>B16*0.1</f>
        <v>2.366</v>
      </c>
      <c r="D16" s="22">
        <v>1280</v>
      </c>
      <c r="E16" s="84">
        <f t="shared" si="1"/>
        <v>6.463078089461713</v>
      </c>
      <c r="F16" s="84">
        <f>B16+E16+C16</f>
        <v>32.489078089461714</v>
      </c>
      <c r="G16" s="19">
        <f>F16*$G$1</f>
        <v>1838.394483692191</v>
      </c>
      <c r="H16" s="21">
        <f>1807+31</f>
        <v>1838</v>
      </c>
      <c r="I16" s="21">
        <f>H16-G16</f>
        <v>-0.3944836921909882</v>
      </c>
    </row>
    <row r="17" spans="1:10" s="8" customFormat="1" ht="15">
      <c r="A17" s="4" t="s">
        <v>224</v>
      </c>
      <c r="B17" s="85"/>
      <c r="C17" s="85"/>
      <c r="D17" s="22">
        <v>7020</v>
      </c>
      <c r="E17" s="84">
        <f t="shared" si="1"/>
        <v>35.44594389689158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343.87999999999994</v>
      </c>
      <c r="C18" s="86"/>
      <c r="D18" s="86">
        <f>SUM(D4:D17)</f>
        <v>13190</v>
      </c>
      <c r="E18" s="86">
        <v>66.6</v>
      </c>
      <c r="F18" s="113"/>
      <c r="G18" s="28"/>
      <c r="H18" s="28"/>
      <c r="I18" s="28"/>
    </row>
    <row r="21" ht="28.5">
      <c r="A21" s="107" t="s">
        <v>562</v>
      </c>
    </row>
    <row r="22" ht="31.5">
      <c r="A22" s="117" t="s">
        <v>118</v>
      </c>
    </row>
    <row r="23" ht="15">
      <c r="A23" s="100" t="s">
        <v>563</v>
      </c>
    </row>
    <row r="24" ht="31.5">
      <c r="A24" s="117" t="s">
        <v>384</v>
      </c>
    </row>
    <row r="25" ht="15">
      <c r="A25" s="100" t="s">
        <v>564</v>
      </c>
    </row>
    <row r="26" ht="31.5">
      <c r="A26" s="117" t="s">
        <v>565</v>
      </c>
    </row>
    <row r="27" ht="15">
      <c r="A27" s="100" t="s">
        <v>566</v>
      </c>
    </row>
    <row r="28" ht="31.5">
      <c r="A28" s="117" t="s">
        <v>168</v>
      </c>
    </row>
    <row r="29" ht="15">
      <c r="A29" s="100" t="s">
        <v>567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42111</v>
      </c>
      <c r="C1" s="10"/>
      <c r="D1" s="10"/>
      <c r="E1" s="10"/>
      <c r="F1" s="11" t="s">
        <v>206</v>
      </c>
      <c r="G1" s="106">
        <v>59.89</v>
      </c>
      <c r="H1" s="8" t="s">
        <v>207</v>
      </c>
    </row>
    <row r="2" s="8" customFormat="1" ht="23.25" customHeight="1">
      <c r="A2" s="33"/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531</v>
      </c>
      <c r="B4" s="22">
        <v>5.75</v>
      </c>
      <c r="C4" s="22">
        <f aca="true" t="shared" si="0" ref="C4:C14">B4*0.1</f>
        <v>0.5750000000000001</v>
      </c>
      <c r="D4" s="22">
        <v>450</v>
      </c>
      <c r="E4" s="84">
        <f aca="true" t="shared" si="1" ref="E4:E26">D4/$D$27*$E$27</f>
        <v>2.261225944404847</v>
      </c>
      <c r="F4" s="84">
        <f aca="true" t="shared" si="2" ref="F4:F18">B4+E4+C4</f>
        <v>8.586225944404847</v>
      </c>
      <c r="G4" s="19">
        <f aca="true" t="shared" si="3" ref="G4:G14">F4*$G$1</f>
        <v>514.2290718104063</v>
      </c>
      <c r="H4" s="21">
        <f>473+23</f>
        <v>496</v>
      </c>
      <c r="I4" s="21">
        <f aca="true" t="shared" si="4" ref="I4:I14">H4-G4</f>
        <v>-18.229071810406253</v>
      </c>
    </row>
    <row r="5" spans="1:9" s="8" customFormat="1" ht="15">
      <c r="A5" s="4" t="s">
        <v>115</v>
      </c>
      <c r="B5" s="22">
        <v>5.75</v>
      </c>
      <c r="C5" s="22">
        <f t="shared" si="0"/>
        <v>0.5750000000000001</v>
      </c>
      <c r="D5" s="22">
        <v>450</v>
      </c>
      <c r="E5" s="84">
        <f t="shared" si="1"/>
        <v>2.261225944404847</v>
      </c>
      <c r="F5" s="84">
        <f t="shared" si="2"/>
        <v>8.586225944404847</v>
      </c>
      <c r="G5" s="19">
        <f t="shared" si="3"/>
        <v>514.2290718104063</v>
      </c>
      <c r="H5" s="21">
        <f>449+40</f>
        <v>489</v>
      </c>
      <c r="I5" s="21">
        <f t="shared" si="4"/>
        <v>-25.229071810406253</v>
      </c>
    </row>
    <row r="6" spans="1:9" s="8" customFormat="1" ht="15">
      <c r="A6" s="4" t="s">
        <v>96</v>
      </c>
      <c r="B6" s="22">
        <v>9.58</v>
      </c>
      <c r="C6" s="22">
        <f t="shared" si="0"/>
        <v>0.9580000000000001</v>
      </c>
      <c r="D6" s="22">
        <v>460</v>
      </c>
      <c r="E6" s="84">
        <f t="shared" si="1"/>
        <v>2.3114754098360657</v>
      </c>
      <c r="F6" s="84">
        <f t="shared" si="2"/>
        <v>12.849475409836066</v>
      </c>
      <c r="G6" s="19">
        <f t="shared" si="3"/>
        <v>769.555082295082</v>
      </c>
      <c r="H6" s="21">
        <f>704+62</f>
        <v>766</v>
      </c>
      <c r="I6" s="21">
        <f t="shared" si="4"/>
        <v>-3.555082295082002</v>
      </c>
    </row>
    <row r="7" spans="1:9" s="8" customFormat="1" ht="15">
      <c r="A7" s="3" t="s">
        <v>118</v>
      </c>
      <c r="B7" s="22">
        <v>10.75</v>
      </c>
      <c r="C7" s="22">
        <f aca="true" t="shared" si="5" ref="C7:C12">B7*0.1</f>
        <v>1.075</v>
      </c>
      <c r="D7" s="22">
        <v>180</v>
      </c>
      <c r="E7" s="84">
        <f t="shared" si="1"/>
        <v>0.9044903777619387</v>
      </c>
      <c r="F7" s="84">
        <f t="shared" si="2"/>
        <v>12.729490377761937</v>
      </c>
      <c r="G7" s="19">
        <f aca="true" t="shared" si="6" ref="G7:G12">F7*$G$1</f>
        <v>762.3691787241625</v>
      </c>
      <c r="H7" s="21">
        <f>700+62</f>
        <v>762</v>
      </c>
      <c r="I7" s="21">
        <f aca="true" t="shared" si="7" ref="I7:I12">H7-G7</f>
        <v>-0.36917872416245245</v>
      </c>
    </row>
    <row r="8" spans="1:9" s="8" customFormat="1" ht="15">
      <c r="A8" s="4" t="s">
        <v>576</v>
      </c>
      <c r="B8" s="22">
        <v>5.42</v>
      </c>
      <c r="C8" s="22">
        <f t="shared" si="5"/>
        <v>0.542</v>
      </c>
      <c r="D8" s="22">
        <v>250</v>
      </c>
      <c r="E8" s="84">
        <f>D8/$D$27*$E$27</f>
        <v>1.2562366357804704</v>
      </c>
      <c r="F8" s="84">
        <f t="shared" si="2"/>
        <v>7.21823663578047</v>
      </c>
      <c r="G8" s="19">
        <f t="shared" si="6"/>
        <v>432.30019211689233</v>
      </c>
      <c r="H8" s="21">
        <f>396+36</f>
        <v>432</v>
      </c>
      <c r="I8" s="21">
        <f t="shared" si="7"/>
        <v>-0.30019211689233316</v>
      </c>
    </row>
    <row r="9" spans="1:9" s="8" customFormat="1" ht="15">
      <c r="A9" s="4" t="s">
        <v>577</v>
      </c>
      <c r="B9" s="22">
        <v>9.08</v>
      </c>
      <c r="C9" s="22">
        <f t="shared" si="5"/>
        <v>0.908</v>
      </c>
      <c r="D9" s="22">
        <v>60</v>
      </c>
      <c r="E9" s="84">
        <f>D9/$D$27*$E$27</f>
        <v>0.30149679258731293</v>
      </c>
      <c r="F9" s="84">
        <f t="shared" si="2"/>
        <v>10.289496792587313</v>
      </c>
      <c r="G9" s="19">
        <f t="shared" si="6"/>
        <v>616.2379629080542</v>
      </c>
      <c r="H9" s="21">
        <f>572+44</f>
        <v>616</v>
      </c>
      <c r="I9" s="21">
        <f t="shared" si="7"/>
        <v>-0.2379629080542145</v>
      </c>
    </row>
    <row r="10" spans="1:9" s="8" customFormat="1" ht="15">
      <c r="A10" s="3" t="s">
        <v>97</v>
      </c>
      <c r="B10" s="22">
        <v>10.17</v>
      </c>
      <c r="C10" s="22">
        <f t="shared" si="5"/>
        <v>1.0170000000000001</v>
      </c>
      <c r="D10" s="22">
        <v>1150</v>
      </c>
      <c r="E10" s="84">
        <f>D10/$D$27*$E$27</f>
        <v>5.778688524590163</v>
      </c>
      <c r="F10" s="84">
        <f t="shared" si="2"/>
        <v>16.965688524590163</v>
      </c>
      <c r="G10" s="19">
        <f t="shared" si="6"/>
        <v>1016.0750857377049</v>
      </c>
      <c r="H10" s="21">
        <f>933+83</f>
        <v>1016</v>
      </c>
      <c r="I10" s="21">
        <f t="shared" si="7"/>
        <v>-0.07508573770485327</v>
      </c>
    </row>
    <row r="11" spans="1:9" s="8" customFormat="1" ht="15">
      <c r="A11" s="4" t="s">
        <v>578</v>
      </c>
      <c r="B11" s="22">
        <v>8.29</v>
      </c>
      <c r="C11" s="22">
        <f t="shared" si="5"/>
        <v>0.829</v>
      </c>
      <c r="D11" s="22">
        <v>575</v>
      </c>
      <c r="E11" s="84">
        <f t="shared" si="1"/>
        <v>2.8893442622950816</v>
      </c>
      <c r="F11" s="84">
        <f t="shared" si="2"/>
        <v>12.008344262295081</v>
      </c>
      <c r="G11" s="19">
        <f t="shared" si="6"/>
        <v>719.1797378688524</v>
      </c>
      <c r="H11" s="21">
        <f>662+57</f>
        <v>719</v>
      </c>
      <c r="I11" s="21">
        <f t="shared" si="7"/>
        <v>-0.17973786885238496</v>
      </c>
    </row>
    <row r="12" spans="1:9" s="8" customFormat="1" ht="15">
      <c r="A12" s="4" t="s">
        <v>453</v>
      </c>
      <c r="B12" s="22">
        <v>5.42</v>
      </c>
      <c r="C12" s="22">
        <f t="shared" si="5"/>
        <v>0.542</v>
      </c>
      <c r="D12" s="22">
        <v>300</v>
      </c>
      <c r="E12" s="84">
        <f t="shared" si="1"/>
        <v>1.5074839629365646</v>
      </c>
      <c r="F12" s="84">
        <f t="shared" si="2"/>
        <v>7.469483962936565</v>
      </c>
      <c r="G12" s="19">
        <f t="shared" si="6"/>
        <v>447.34739454027084</v>
      </c>
      <c r="H12" s="21">
        <f>399+48</f>
        <v>447</v>
      </c>
      <c r="I12" s="21">
        <f t="shared" si="7"/>
        <v>-0.34739454027084093</v>
      </c>
    </row>
    <row r="13" spans="1:10" s="8" customFormat="1" ht="15">
      <c r="A13" s="4" t="s">
        <v>134</v>
      </c>
      <c r="B13" s="22">
        <v>2.67</v>
      </c>
      <c r="C13" s="22">
        <f t="shared" si="0"/>
        <v>0.267</v>
      </c>
      <c r="D13" s="22">
        <v>130</v>
      </c>
      <c r="E13" s="84">
        <f t="shared" si="1"/>
        <v>0.6532430506058446</v>
      </c>
      <c r="F13" s="84">
        <f t="shared" si="2"/>
        <v>3.5902430506058445</v>
      </c>
      <c r="G13" s="19">
        <f t="shared" si="3"/>
        <v>215.01965630078402</v>
      </c>
      <c r="H13" s="21">
        <v>194</v>
      </c>
      <c r="I13" s="21">
        <f t="shared" si="4"/>
        <v>-21.01965630078402</v>
      </c>
      <c r="J13" s="118"/>
    </row>
    <row r="14" spans="1:9" s="8" customFormat="1" ht="15">
      <c r="A14" s="3" t="s">
        <v>173</v>
      </c>
      <c r="B14" s="22">
        <v>8.75</v>
      </c>
      <c r="C14" s="22">
        <f t="shared" si="0"/>
        <v>0.875</v>
      </c>
      <c r="D14" s="22">
        <v>230</v>
      </c>
      <c r="E14" s="84">
        <f t="shared" si="1"/>
        <v>1.1557377049180328</v>
      </c>
      <c r="F14" s="84">
        <f t="shared" si="2"/>
        <v>10.780737704918034</v>
      </c>
      <c r="G14" s="19">
        <f t="shared" si="3"/>
        <v>645.658381147541</v>
      </c>
      <c r="H14" s="21">
        <f>571+48</f>
        <v>619</v>
      </c>
      <c r="I14" s="21">
        <f t="shared" si="4"/>
        <v>-26.658381147541036</v>
      </c>
    </row>
    <row r="15" spans="1:9" s="8" customFormat="1" ht="15">
      <c r="A15" s="4" t="s">
        <v>536</v>
      </c>
      <c r="B15" s="22">
        <v>9.08</v>
      </c>
      <c r="C15" s="22">
        <f>B15*0.1</f>
        <v>0.908</v>
      </c>
      <c r="D15" s="22">
        <v>180</v>
      </c>
      <c r="E15" s="84">
        <f t="shared" si="1"/>
        <v>0.9044903777619387</v>
      </c>
      <c r="F15" s="84">
        <f t="shared" si="2"/>
        <v>10.892490377761938</v>
      </c>
      <c r="G15" s="19">
        <f>F15*$G$1</f>
        <v>652.3512487241625</v>
      </c>
      <c r="H15" s="21">
        <f>604+48</f>
        <v>652</v>
      </c>
      <c r="I15" s="21">
        <f>H15-G15</f>
        <v>-0.351248724162474</v>
      </c>
    </row>
    <row r="16" spans="1:9" s="8" customFormat="1" ht="15">
      <c r="A16" s="4" t="s">
        <v>512</v>
      </c>
      <c r="B16" s="22">
        <v>10.75</v>
      </c>
      <c r="C16" s="22">
        <f>B16*0.1</f>
        <v>1.075</v>
      </c>
      <c r="D16" s="22">
        <v>810</v>
      </c>
      <c r="E16" s="84">
        <f t="shared" si="1"/>
        <v>4.0702066999287245</v>
      </c>
      <c r="F16" s="84">
        <f t="shared" si="2"/>
        <v>15.895206699928725</v>
      </c>
      <c r="G16" s="19">
        <f>F16*$G$1</f>
        <v>951.9639292587314</v>
      </c>
      <c r="H16" s="119">
        <f>876+76</f>
        <v>952</v>
      </c>
      <c r="I16" s="21">
        <f>H16-G16</f>
        <v>0.03607074126864518</v>
      </c>
    </row>
    <row r="17" spans="1:9" s="8" customFormat="1" ht="15">
      <c r="A17" s="4" t="s">
        <v>579</v>
      </c>
      <c r="B17" s="22">
        <v>9.08</v>
      </c>
      <c r="C17" s="22">
        <f>B17*0.1</f>
        <v>0.908</v>
      </c>
      <c r="D17" s="22">
        <v>70</v>
      </c>
      <c r="E17" s="84">
        <f t="shared" si="1"/>
        <v>0.3517462580185317</v>
      </c>
      <c r="F17" s="84">
        <f t="shared" si="2"/>
        <v>10.33974625801853</v>
      </c>
      <c r="G17" s="19">
        <f>F17*$G$1</f>
        <v>619.2474033927298</v>
      </c>
      <c r="H17" s="21">
        <f>574+45</f>
        <v>619</v>
      </c>
      <c r="I17" s="21">
        <f>H17-G17</f>
        <v>-0.24740339272977963</v>
      </c>
    </row>
    <row r="18" spans="1:9" s="8" customFormat="1" ht="15">
      <c r="A18" s="4" t="s">
        <v>571</v>
      </c>
      <c r="B18" s="22">
        <v>16.54</v>
      </c>
      <c r="C18" s="22">
        <f>B18*0.1</f>
        <v>1.654</v>
      </c>
      <c r="D18" s="22">
        <v>675</v>
      </c>
      <c r="E18" s="84">
        <f t="shared" si="1"/>
        <v>3.39183891660727</v>
      </c>
      <c r="F18" s="84">
        <f t="shared" si="2"/>
        <v>21.58583891660727</v>
      </c>
      <c r="G18" s="19">
        <f>F18*$G$1</f>
        <v>1292.7758927156094</v>
      </c>
      <c r="H18" s="21">
        <f>1194+99</f>
        <v>1293</v>
      </c>
      <c r="I18" s="21">
        <f>H18-G18</f>
        <v>0.22410728439058403</v>
      </c>
    </row>
    <row r="19" spans="1:9" s="8" customFormat="1" ht="15">
      <c r="A19" s="4" t="s">
        <v>418</v>
      </c>
      <c r="B19" s="22">
        <v>103.52</v>
      </c>
      <c r="C19" s="22">
        <f aca="true" t="shared" si="8" ref="C19:C24">B19*0.1</f>
        <v>10.352</v>
      </c>
      <c r="D19" s="22">
        <v>1920</v>
      </c>
      <c r="E19" s="84">
        <f aca="true" t="shared" si="9" ref="E19:E24">D19/$D$27*$E$27</f>
        <v>9.647897362794014</v>
      </c>
      <c r="F19" s="84">
        <f aca="true" t="shared" si="10" ref="F19:F24">B19+E19+C19</f>
        <v>123.51989736279401</v>
      </c>
      <c r="G19" s="19">
        <f aca="true" t="shared" si="11" ref="G19:G24">F19*$G$1</f>
        <v>7397.606653057734</v>
      </c>
      <c r="H19" s="21">
        <f>6848+631</f>
        <v>7479</v>
      </c>
      <c r="I19" s="21">
        <f aca="true" t="shared" si="12" ref="I19:I24">H19-G19</f>
        <v>81.39334694226636</v>
      </c>
    </row>
    <row r="20" spans="1:9" s="8" customFormat="1" ht="15">
      <c r="A20" s="4" t="s">
        <v>549</v>
      </c>
      <c r="B20" s="22">
        <v>24</v>
      </c>
      <c r="C20" s="22">
        <f t="shared" si="8"/>
        <v>2.4000000000000004</v>
      </c>
      <c r="D20" s="22">
        <v>1390</v>
      </c>
      <c r="E20" s="84">
        <f t="shared" si="9"/>
        <v>6.9846756949394155</v>
      </c>
      <c r="F20" s="84">
        <f t="shared" si="10"/>
        <v>33.38467569493942</v>
      </c>
      <c r="G20" s="19">
        <f t="shared" si="11"/>
        <v>1999.4082273699216</v>
      </c>
      <c r="H20" s="119">
        <f>1850+152</f>
        <v>2002</v>
      </c>
      <c r="I20" s="21">
        <f t="shared" si="12"/>
        <v>2.591772630078367</v>
      </c>
    </row>
    <row r="21" spans="1:9" s="8" customFormat="1" ht="15">
      <c r="A21" s="4" t="s">
        <v>580</v>
      </c>
      <c r="B21" s="22">
        <v>9.5</v>
      </c>
      <c r="C21" s="22">
        <f t="shared" si="8"/>
        <v>0.9500000000000001</v>
      </c>
      <c r="D21" s="22">
        <v>370</v>
      </c>
      <c r="E21" s="84">
        <f t="shared" si="9"/>
        <v>1.8592302209550964</v>
      </c>
      <c r="F21" s="84">
        <f t="shared" si="10"/>
        <v>12.309230220955095</v>
      </c>
      <c r="G21" s="19">
        <f t="shared" si="11"/>
        <v>737.1997979330007</v>
      </c>
      <c r="H21" s="21">
        <v>754</v>
      </c>
      <c r="I21" s="21">
        <f t="shared" si="12"/>
        <v>16.800202066999304</v>
      </c>
    </row>
    <row r="22" spans="1:9" s="8" customFormat="1" ht="15">
      <c r="A22" s="4" t="s">
        <v>416</v>
      </c>
      <c r="B22" s="22">
        <v>16.92</v>
      </c>
      <c r="C22" s="22">
        <f t="shared" si="8"/>
        <v>1.6920000000000002</v>
      </c>
      <c r="D22" s="22">
        <v>310</v>
      </c>
      <c r="E22" s="84">
        <f t="shared" si="9"/>
        <v>1.5577334283677835</v>
      </c>
      <c r="F22" s="84">
        <f t="shared" si="10"/>
        <v>20.169733428367785</v>
      </c>
      <c r="G22" s="19">
        <f t="shared" si="11"/>
        <v>1207.9653350249466</v>
      </c>
      <c r="H22" s="21">
        <f>1116+92</f>
        <v>1208</v>
      </c>
      <c r="I22" s="21">
        <f t="shared" si="12"/>
        <v>0.03466497505337429</v>
      </c>
    </row>
    <row r="23" spans="1:9" s="8" customFormat="1" ht="15">
      <c r="A23" s="4" t="s">
        <v>565</v>
      </c>
      <c r="B23" s="22">
        <v>43.09</v>
      </c>
      <c r="C23" s="22">
        <f t="shared" si="8"/>
        <v>4.309</v>
      </c>
      <c r="D23" s="22">
        <v>480</v>
      </c>
      <c r="E23" s="84">
        <f t="shared" si="9"/>
        <v>2.4119743406985035</v>
      </c>
      <c r="F23" s="84">
        <f t="shared" si="10"/>
        <v>49.81097434069851</v>
      </c>
      <c r="G23" s="19">
        <f t="shared" si="11"/>
        <v>2983.1792532644336</v>
      </c>
      <c r="H23" s="21">
        <f>2765+218</f>
        <v>2983</v>
      </c>
      <c r="I23" s="21">
        <f t="shared" si="12"/>
        <v>-0.17925326443355516</v>
      </c>
    </row>
    <row r="24" spans="1:9" s="8" customFormat="1" ht="15">
      <c r="A24" s="4" t="s">
        <v>41</v>
      </c>
      <c r="B24" s="22">
        <v>48.42</v>
      </c>
      <c r="C24" s="22">
        <f t="shared" si="8"/>
        <v>4.8420000000000005</v>
      </c>
      <c r="D24" s="22">
        <v>980</v>
      </c>
      <c r="E24" s="84">
        <f t="shared" si="9"/>
        <v>4.924447612259444</v>
      </c>
      <c r="F24" s="84">
        <f t="shared" si="10"/>
        <v>58.18644761225944</v>
      </c>
      <c r="G24" s="19">
        <f t="shared" si="11"/>
        <v>3484.786347498218</v>
      </c>
      <c r="H24" s="119">
        <f>3310+175</f>
        <v>3485</v>
      </c>
      <c r="I24" s="21">
        <f t="shared" si="12"/>
        <v>0.2136525017817803</v>
      </c>
    </row>
    <row r="25" spans="1:9" s="8" customFormat="1" ht="15">
      <c r="A25" s="4" t="s">
        <v>168</v>
      </c>
      <c r="B25" s="22">
        <v>28.25</v>
      </c>
      <c r="C25" s="22">
        <f>B25*0.1</f>
        <v>2.825</v>
      </c>
      <c r="D25" s="22">
        <v>350</v>
      </c>
      <c r="E25" s="84">
        <f t="shared" si="1"/>
        <v>1.7587312900926586</v>
      </c>
      <c r="F25" s="84">
        <f>B25+E25+C25</f>
        <v>32.83373129009266</v>
      </c>
      <c r="G25" s="19">
        <f>F25*$G$1</f>
        <v>1966.4121669636493</v>
      </c>
      <c r="H25" s="21">
        <f>1823+143</f>
        <v>1966</v>
      </c>
      <c r="I25" s="21">
        <f>H25-G25</f>
        <v>-0.41216696364926975</v>
      </c>
    </row>
    <row r="26" spans="1:10" s="8" customFormat="1" ht="15">
      <c r="A26" s="4" t="s">
        <v>224</v>
      </c>
      <c r="B26" s="85"/>
      <c r="C26" s="85"/>
      <c r="D26" s="22">
        <v>2260</v>
      </c>
      <c r="E26" s="84">
        <f t="shared" si="1"/>
        <v>11.356379187455452</v>
      </c>
      <c r="F26" s="85"/>
      <c r="G26" s="28"/>
      <c r="H26" s="28"/>
      <c r="I26" s="28"/>
      <c r="J26" s="32"/>
    </row>
    <row r="27" spans="1:9" s="8" customFormat="1" ht="15">
      <c r="A27" s="25"/>
      <c r="B27" s="86">
        <f>SUM(B4:B26)</f>
        <v>400.78000000000003</v>
      </c>
      <c r="C27" s="86"/>
      <c r="D27" s="86">
        <f>SUM(D4:D26)</f>
        <v>14030</v>
      </c>
      <c r="E27" s="86">
        <v>70.5</v>
      </c>
      <c r="F27" s="113"/>
      <c r="G27" s="28"/>
      <c r="H27" s="28"/>
      <c r="I27" s="28"/>
    </row>
    <row r="29" ht="28.5">
      <c r="A29" s="107"/>
    </row>
    <row r="30" ht="28.5">
      <c r="A30" s="107"/>
    </row>
    <row r="31" ht="27.75" customHeight="1">
      <c r="A31" s="10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42119</v>
      </c>
      <c r="C1" s="10"/>
      <c r="D1" s="10"/>
      <c r="E1" s="10"/>
      <c r="F1" s="11" t="s">
        <v>206</v>
      </c>
      <c r="G1" s="106">
        <v>58.583</v>
      </c>
      <c r="H1" s="8" t="s">
        <v>207</v>
      </c>
    </row>
    <row r="2" s="8" customFormat="1" ht="23.25" customHeight="1">
      <c r="A2" s="33"/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115</v>
      </c>
      <c r="B4" s="22">
        <v>8.25</v>
      </c>
      <c r="C4" s="22">
        <f aca="true" t="shared" si="0" ref="C4:C13">B4*0.1</f>
        <v>0.8250000000000001</v>
      </c>
      <c r="D4" s="22">
        <v>230</v>
      </c>
      <c r="E4" s="84">
        <f aca="true" t="shared" si="1" ref="E4:E14">D4/$D$15*$E$15</f>
        <v>1.2011111111111112</v>
      </c>
      <c r="F4" s="84">
        <f>B4+E4+C4</f>
        <v>10.27611111111111</v>
      </c>
      <c r="G4" s="19">
        <f aca="true" t="shared" si="2" ref="G4:G13">F4*$G$1</f>
        <v>602.0054172222221</v>
      </c>
      <c r="H4" s="21">
        <v>573</v>
      </c>
      <c r="I4" s="21">
        <f aca="true" t="shared" si="3" ref="I4:I13">H4-G4</f>
        <v>-29.00541722222215</v>
      </c>
    </row>
    <row r="5" spans="1:9" s="8" customFormat="1" ht="15">
      <c r="A5" s="4" t="s">
        <v>416</v>
      </c>
      <c r="B5" s="22">
        <v>16.5</v>
      </c>
      <c r="C5" s="22">
        <f t="shared" si="0"/>
        <v>1.6500000000000001</v>
      </c>
      <c r="D5" s="22">
        <v>290</v>
      </c>
      <c r="E5" s="84">
        <f t="shared" si="1"/>
        <v>1.5144444444444443</v>
      </c>
      <c r="F5" s="84">
        <f aca="true" t="shared" si="4" ref="F5:F13">B5+E5+C5</f>
        <v>19.66444444444444</v>
      </c>
      <c r="G5" s="19">
        <f t="shared" si="2"/>
        <v>1152.0021488888888</v>
      </c>
      <c r="H5" s="21">
        <f>1122+30</f>
        <v>1152</v>
      </c>
      <c r="I5" s="21">
        <f t="shared" si="3"/>
        <v>-0.0021488888887688518</v>
      </c>
    </row>
    <row r="6" spans="1:9" s="8" customFormat="1" ht="15">
      <c r="A6" s="4" t="s">
        <v>86</v>
      </c>
      <c r="B6" s="22">
        <v>13.75</v>
      </c>
      <c r="C6" s="22">
        <f t="shared" si="0"/>
        <v>1.375</v>
      </c>
      <c r="D6" s="22">
        <v>350</v>
      </c>
      <c r="E6" s="84">
        <f t="shared" si="1"/>
        <v>1.8277777777777777</v>
      </c>
      <c r="F6" s="84">
        <f t="shared" si="4"/>
        <v>16.952777777777776</v>
      </c>
      <c r="G6" s="19">
        <f t="shared" si="2"/>
        <v>993.1445805555554</v>
      </c>
      <c r="H6" s="21">
        <f>945+48+48</f>
        <v>1041</v>
      </c>
      <c r="I6" s="21">
        <f t="shared" si="3"/>
        <v>47.85541944444458</v>
      </c>
    </row>
    <row r="7" spans="1:10" s="8" customFormat="1" ht="15">
      <c r="A7" s="3" t="s">
        <v>584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6.266666666666667</v>
      </c>
      <c r="F7" s="84">
        <f t="shared" si="4"/>
        <v>15.341666666666665</v>
      </c>
      <c r="G7" s="19">
        <f t="shared" si="2"/>
        <v>898.7608583333332</v>
      </c>
      <c r="H7" s="21">
        <f>916+456</f>
        <v>1372</v>
      </c>
      <c r="I7" s="21">
        <f t="shared" si="3"/>
        <v>473.2391416666668</v>
      </c>
      <c r="J7" s="112" t="s">
        <v>606</v>
      </c>
    </row>
    <row r="8" spans="1:9" s="8" customFormat="1" ht="15">
      <c r="A8" s="4" t="s">
        <v>585</v>
      </c>
      <c r="B8" s="22">
        <v>19.84</v>
      </c>
      <c r="C8" s="22">
        <f t="shared" si="0"/>
        <v>1.984</v>
      </c>
      <c r="D8" s="22">
        <v>1350</v>
      </c>
      <c r="E8" s="84">
        <f t="shared" si="1"/>
        <v>7.050000000000001</v>
      </c>
      <c r="F8" s="84">
        <f t="shared" si="4"/>
        <v>28.874000000000002</v>
      </c>
      <c r="G8" s="19">
        <f t="shared" si="2"/>
        <v>1691.525542</v>
      </c>
      <c r="H8" s="21">
        <v>1618</v>
      </c>
      <c r="I8" s="21">
        <f t="shared" si="3"/>
        <v>-73.52554200000009</v>
      </c>
    </row>
    <row r="9" spans="1:9" s="8" customFormat="1" ht="15">
      <c r="A9" s="4" t="s">
        <v>586</v>
      </c>
      <c r="B9" s="22">
        <v>21.58</v>
      </c>
      <c r="C9" s="22">
        <f t="shared" si="0"/>
        <v>2.158</v>
      </c>
      <c r="D9" s="22">
        <v>770</v>
      </c>
      <c r="E9" s="84">
        <f t="shared" si="1"/>
        <v>4.021111111111111</v>
      </c>
      <c r="F9" s="84">
        <f t="shared" si="4"/>
        <v>27.75911111111111</v>
      </c>
      <c r="G9" s="19">
        <f t="shared" si="2"/>
        <v>1626.212006222222</v>
      </c>
      <c r="H9" s="21">
        <f>1541+85</f>
        <v>1626</v>
      </c>
      <c r="I9" s="21">
        <f t="shared" si="3"/>
        <v>-0.21200622222204402</v>
      </c>
    </row>
    <row r="10" spans="1:9" s="8" customFormat="1" ht="15">
      <c r="A10" s="3" t="s">
        <v>587</v>
      </c>
      <c r="B10" s="22">
        <v>8.25</v>
      </c>
      <c r="C10" s="22">
        <f t="shared" si="0"/>
        <v>0.8250000000000001</v>
      </c>
      <c r="D10" s="22">
        <v>130</v>
      </c>
      <c r="E10" s="84">
        <f t="shared" si="1"/>
        <v>0.678888888888889</v>
      </c>
      <c r="F10" s="84">
        <f t="shared" si="4"/>
        <v>9.753888888888888</v>
      </c>
      <c r="G10" s="19">
        <f t="shared" si="2"/>
        <v>571.4120727777777</v>
      </c>
      <c r="H10" s="21">
        <v>544</v>
      </c>
      <c r="I10" s="21">
        <f t="shared" si="3"/>
        <v>-27.412072777777666</v>
      </c>
    </row>
    <row r="11" spans="1:9" s="8" customFormat="1" ht="15">
      <c r="A11" s="4" t="s">
        <v>588</v>
      </c>
      <c r="B11" s="22">
        <v>5.42</v>
      </c>
      <c r="C11" s="22">
        <f t="shared" si="0"/>
        <v>0.542</v>
      </c>
      <c r="D11" s="22">
        <v>300</v>
      </c>
      <c r="E11" s="84">
        <f t="shared" si="1"/>
        <v>1.5666666666666667</v>
      </c>
      <c r="F11" s="84">
        <f t="shared" si="4"/>
        <v>7.528666666666666</v>
      </c>
      <c r="G11" s="19">
        <f t="shared" si="2"/>
        <v>441.0518793333333</v>
      </c>
      <c r="H11" s="21">
        <f>405+36</f>
        <v>441</v>
      </c>
      <c r="I11" s="21">
        <f t="shared" si="3"/>
        <v>-0.051879333333317845</v>
      </c>
    </row>
    <row r="12" spans="1:9" s="8" customFormat="1" ht="15">
      <c r="A12" s="4" t="s">
        <v>91</v>
      </c>
      <c r="B12" s="22">
        <v>66.75</v>
      </c>
      <c r="C12" s="22">
        <f t="shared" si="0"/>
        <v>6.675000000000001</v>
      </c>
      <c r="D12" s="22">
        <v>860</v>
      </c>
      <c r="E12" s="84">
        <f t="shared" si="1"/>
        <v>4.4911111111111115</v>
      </c>
      <c r="F12" s="84">
        <f t="shared" si="4"/>
        <v>77.9161111111111</v>
      </c>
      <c r="G12" s="19">
        <f t="shared" si="2"/>
        <v>4564.5595372222215</v>
      </c>
      <c r="H12" s="21">
        <f>4302+262</f>
        <v>4564</v>
      </c>
      <c r="I12" s="21">
        <f t="shared" si="3"/>
        <v>-0.5595372222214792</v>
      </c>
    </row>
    <row r="13" spans="1:10" s="8" customFormat="1" ht="15">
      <c r="A13" s="4" t="s">
        <v>589</v>
      </c>
      <c r="B13" s="22">
        <v>24.84</v>
      </c>
      <c r="C13" s="22">
        <f t="shared" si="0"/>
        <v>2.484</v>
      </c>
      <c r="D13" s="22">
        <v>440</v>
      </c>
      <c r="E13" s="84">
        <f t="shared" si="1"/>
        <v>2.2977777777777777</v>
      </c>
      <c r="F13" s="84">
        <f t="shared" si="4"/>
        <v>29.62177777777778</v>
      </c>
      <c r="G13" s="19">
        <f t="shared" si="2"/>
        <v>1735.3326075555556</v>
      </c>
      <c r="H13" s="21">
        <v>1640</v>
      </c>
      <c r="I13" s="21">
        <f t="shared" si="3"/>
        <v>-95.33260755555557</v>
      </c>
      <c r="J13" s="118"/>
    </row>
    <row r="14" spans="1:10" s="8" customFormat="1" ht="15">
      <c r="A14" s="4" t="s">
        <v>224</v>
      </c>
      <c r="B14" s="85"/>
      <c r="C14" s="85"/>
      <c r="D14" s="22">
        <v>7580</v>
      </c>
      <c r="E14" s="84">
        <f t="shared" si="1"/>
        <v>39.58444444444444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193.43</v>
      </c>
      <c r="C15" s="86"/>
      <c r="D15" s="86">
        <f>SUM(D4:D14)</f>
        <v>13500</v>
      </c>
      <c r="E15" s="86">
        <v>70.5</v>
      </c>
      <c r="F15" s="113"/>
      <c r="G15" s="28"/>
      <c r="H15" s="28"/>
      <c r="I15" s="28"/>
    </row>
    <row r="17" ht="28.5">
      <c r="A17" s="120" t="s">
        <v>590</v>
      </c>
    </row>
    <row r="18" ht="15">
      <c r="A18" s="121" t="s">
        <v>589</v>
      </c>
    </row>
    <row r="19" ht="15">
      <c r="A19" s="100" t="s">
        <v>591</v>
      </c>
    </row>
    <row r="20" ht="15">
      <c r="A20" s="100" t="s">
        <v>592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42126</v>
      </c>
      <c r="C1" s="10"/>
      <c r="D1" s="10"/>
      <c r="E1" s="10"/>
      <c r="F1" s="11" t="s">
        <v>206</v>
      </c>
      <c r="G1" s="106">
        <v>59.551</v>
      </c>
      <c r="H1" s="8" t="s">
        <v>207</v>
      </c>
    </row>
    <row r="2" s="8" customFormat="1" ht="23.25" customHeight="1">
      <c r="A2" s="33"/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589</v>
      </c>
      <c r="B4" s="22">
        <v>18.16</v>
      </c>
      <c r="C4" s="22">
        <f aca="true" t="shared" si="0" ref="C4:C16">B4*0.1</f>
        <v>1.816</v>
      </c>
      <c r="D4" s="22">
        <v>120</v>
      </c>
      <c r="E4" s="84">
        <f aca="true" t="shared" si="1" ref="E4:E17">D4/$D$18*$E$18</f>
        <v>0.6095896328293736</v>
      </c>
      <c r="F4" s="84">
        <f>B4+E4+C4</f>
        <v>20.58558963282937</v>
      </c>
      <c r="G4" s="19">
        <f aca="true" t="shared" si="2" ref="G4:G16">F4*$G$1</f>
        <v>1225.892448224622</v>
      </c>
      <c r="H4" s="21">
        <f>1285+31</f>
        <v>1316</v>
      </c>
      <c r="I4" s="21">
        <f aca="true" t="shared" si="3" ref="I4:I16">H4-G4</f>
        <v>90.10755177537794</v>
      </c>
    </row>
    <row r="5" spans="1:10" s="8" customFormat="1" ht="15">
      <c r="A5" s="4" t="s">
        <v>596</v>
      </c>
      <c r="B5" s="22">
        <v>5.75</v>
      </c>
      <c r="C5" s="22">
        <f t="shared" si="0"/>
        <v>0.5750000000000001</v>
      </c>
      <c r="D5" s="22">
        <v>240</v>
      </c>
      <c r="E5" s="84">
        <f t="shared" si="1"/>
        <v>1.2191792656587472</v>
      </c>
      <c r="F5" s="84">
        <f aca="true" t="shared" si="4" ref="F5:F16">B5+E5+C5</f>
        <v>7.544179265658747</v>
      </c>
      <c r="G5" s="19">
        <f t="shared" si="2"/>
        <v>449.26341944924405</v>
      </c>
      <c r="H5" s="21">
        <f>439+10</f>
        <v>449</v>
      </c>
      <c r="I5" s="21">
        <f t="shared" si="3"/>
        <v>-0.26341944924405425</v>
      </c>
      <c r="J5" s="112" t="s">
        <v>622</v>
      </c>
    </row>
    <row r="6" spans="1:9" s="8" customFormat="1" ht="15">
      <c r="A6" s="4" t="s">
        <v>509</v>
      </c>
      <c r="B6" s="22">
        <v>11.25</v>
      </c>
      <c r="C6" s="22">
        <f t="shared" si="0"/>
        <v>1.125</v>
      </c>
      <c r="D6" s="22">
        <v>490</v>
      </c>
      <c r="E6" s="84">
        <f t="shared" si="1"/>
        <v>2.4891576673866087</v>
      </c>
      <c r="F6" s="84">
        <f t="shared" si="4"/>
        <v>14.864157667386609</v>
      </c>
      <c r="G6" s="19">
        <f t="shared" si="2"/>
        <v>885.1754532505399</v>
      </c>
      <c r="H6" s="21">
        <f>855+30</f>
        <v>885</v>
      </c>
      <c r="I6" s="21">
        <f t="shared" si="3"/>
        <v>-0.1754532505399311</v>
      </c>
    </row>
    <row r="7" spans="1:9" s="8" customFormat="1" ht="15">
      <c r="A7" s="3" t="s">
        <v>431</v>
      </c>
      <c r="B7" s="22">
        <v>7.42</v>
      </c>
      <c r="C7" s="22">
        <f t="shared" si="0"/>
        <v>0.742</v>
      </c>
      <c r="D7" s="22">
        <v>40</v>
      </c>
      <c r="E7" s="84">
        <f t="shared" si="1"/>
        <v>0.20319654427645786</v>
      </c>
      <c r="F7" s="84">
        <f t="shared" si="4"/>
        <v>8.365196544276458</v>
      </c>
      <c r="G7" s="19">
        <f t="shared" si="2"/>
        <v>498.1558194082074</v>
      </c>
      <c r="H7" s="21">
        <f>488+10</f>
        <v>498</v>
      </c>
      <c r="I7" s="21">
        <f t="shared" si="3"/>
        <v>-0.15581940820737827</v>
      </c>
    </row>
    <row r="8" spans="1:9" s="8" customFormat="1" ht="15">
      <c r="A8" s="4" t="s">
        <v>597</v>
      </c>
      <c r="B8" s="22">
        <v>12.92</v>
      </c>
      <c r="C8" s="22">
        <f t="shared" si="0"/>
        <v>1.292</v>
      </c>
      <c r="D8" s="22">
        <v>140</v>
      </c>
      <c r="E8" s="84">
        <f t="shared" si="1"/>
        <v>0.7111879049676025</v>
      </c>
      <c r="F8" s="84">
        <f t="shared" si="4"/>
        <v>14.923187904967602</v>
      </c>
      <c r="G8" s="19">
        <f t="shared" si="2"/>
        <v>888.6907629287257</v>
      </c>
      <c r="H8" s="21">
        <f>770+119</f>
        <v>889</v>
      </c>
      <c r="I8" s="21">
        <f t="shared" si="3"/>
        <v>0.30923707127431044</v>
      </c>
    </row>
    <row r="9" spans="1:9" s="8" customFormat="1" ht="15">
      <c r="A9" s="4" t="s">
        <v>555</v>
      </c>
      <c r="B9" s="22">
        <v>8.25</v>
      </c>
      <c r="C9" s="22">
        <f>B9*0.1</f>
        <v>0.8250000000000001</v>
      </c>
      <c r="D9" s="22">
        <v>240</v>
      </c>
      <c r="E9" s="84">
        <f t="shared" si="1"/>
        <v>1.2191792656587472</v>
      </c>
      <c r="F9" s="84">
        <f>B9+E9+C9</f>
        <v>10.294179265658746</v>
      </c>
      <c r="G9" s="19">
        <f>F9*$G$1</f>
        <v>613.028669449244</v>
      </c>
      <c r="H9" s="21">
        <f>599+14</f>
        <v>613</v>
      </c>
      <c r="I9" s="21">
        <f>H9-G9</f>
        <v>-0.028669449244034695</v>
      </c>
    </row>
    <row r="10" spans="1:9" s="8" customFormat="1" ht="15">
      <c r="A10" s="4" t="s">
        <v>598</v>
      </c>
      <c r="B10" s="22">
        <v>17.59</v>
      </c>
      <c r="C10" s="22">
        <f>B10*0.1</f>
        <v>1.7590000000000001</v>
      </c>
      <c r="D10" s="22">
        <v>2250</v>
      </c>
      <c r="E10" s="84">
        <f t="shared" si="1"/>
        <v>11.429805615550755</v>
      </c>
      <c r="F10" s="84">
        <f>B10+E10+C10</f>
        <v>30.778805615550755</v>
      </c>
      <c r="G10" s="19">
        <f>F10*$G$1</f>
        <v>1832.908653211663</v>
      </c>
      <c r="H10" s="21">
        <f>1811+22</f>
        <v>1833</v>
      </c>
      <c r="I10" s="21">
        <f>H10-G10</f>
        <v>0.09134678833697762</v>
      </c>
    </row>
    <row r="11" spans="1:9" s="8" customFormat="1" ht="15">
      <c r="A11" s="3" t="s">
        <v>115</v>
      </c>
      <c r="B11" s="22">
        <v>12.66</v>
      </c>
      <c r="C11" s="22">
        <f>B11*0.1</f>
        <v>1.266</v>
      </c>
      <c r="D11" s="22">
        <v>510</v>
      </c>
      <c r="E11" s="84">
        <f t="shared" si="1"/>
        <v>2.590755939524838</v>
      </c>
      <c r="F11" s="84">
        <f>B11+E11+C11</f>
        <v>16.51675593952484</v>
      </c>
      <c r="G11" s="19">
        <f>F11*$G$1</f>
        <v>983.5893329546436</v>
      </c>
      <c r="H11" s="21">
        <v>951</v>
      </c>
      <c r="I11" s="21">
        <f>H11-G11</f>
        <v>-32.58933295464362</v>
      </c>
    </row>
    <row r="12" spans="1:9" s="8" customFormat="1" ht="15">
      <c r="A12" s="4" t="s">
        <v>599</v>
      </c>
      <c r="B12" s="108">
        <v>9.08</v>
      </c>
      <c r="C12" s="22">
        <f>B12*0.1</f>
        <v>0.908</v>
      </c>
      <c r="D12" s="22">
        <v>70</v>
      </c>
      <c r="E12" s="84">
        <f t="shared" si="1"/>
        <v>0.35559395248380127</v>
      </c>
      <c r="F12" s="84">
        <f>B12+E12+C12</f>
        <v>10.3435939524838</v>
      </c>
      <c r="G12" s="19">
        <f>F12*$G$1</f>
        <v>615.9713634643629</v>
      </c>
      <c r="H12" s="21">
        <f>604+12</f>
        <v>616</v>
      </c>
      <c r="I12" s="21">
        <f>H12-G12</f>
        <v>0.02863653563713342</v>
      </c>
    </row>
    <row r="13" spans="1:9" s="8" customFormat="1" ht="15">
      <c r="A13" s="4" t="s">
        <v>173</v>
      </c>
      <c r="B13" s="108">
        <v>9.08</v>
      </c>
      <c r="C13" s="22">
        <f t="shared" si="0"/>
        <v>0.908</v>
      </c>
      <c r="D13" s="22">
        <v>70</v>
      </c>
      <c r="E13" s="84">
        <f t="shared" si="1"/>
        <v>0.35559395248380127</v>
      </c>
      <c r="F13" s="84">
        <f t="shared" si="4"/>
        <v>10.3435939524838</v>
      </c>
      <c r="G13" s="19">
        <f t="shared" si="2"/>
        <v>615.9713634643629</v>
      </c>
      <c r="H13" s="21">
        <f>610+6</f>
        <v>616</v>
      </c>
      <c r="I13" s="21">
        <f t="shared" si="3"/>
        <v>0.02863653563713342</v>
      </c>
    </row>
    <row r="14" spans="1:9" s="8" customFormat="1" ht="15">
      <c r="A14" s="3" t="s">
        <v>5</v>
      </c>
      <c r="B14" s="22">
        <v>10.75</v>
      </c>
      <c r="C14" s="22">
        <f t="shared" si="0"/>
        <v>1.075</v>
      </c>
      <c r="D14" s="22">
        <v>180</v>
      </c>
      <c r="E14" s="84">
        <f t="shared" si="1"/>
        <v>0.9143844492440604</v>
      </c>
      <c r="F14" s="84">
        <f t="shared" si="4"/>
        <v>12.73938444924406</v>
      </c>
      <c r="G14" s="19">
        <f t="shared" si="2"/>
        <v>758.643083336933</v>
      </c>
      <c r="H14" s="21">
        <f>745+14</f>
        <v>759</v>
      </c>
      <c r="I14" s="21">
        <f t="shared" si="3"/>
        <v>0.35691666306695424</v>
      </c>
    </row>
    <row r="15" spans="1:10" s="8" customFormat="1" ht="15">
      <c r="A15" s="4" t="s">
        <v>600</v>
      </c>
      <c r="B15" s="22">
        <v>79.74</v>
      </c>
      <c r="C15" s="22">
        <f t="shared" si="0"/>
        <v>7.974</v>
      </c>
      <c r="D15" s="22">
        <v>565</v>
      </c>
      <c r="E15" s="84">
        <f t="shared" si="1"/>
        <v>2.8701511879049675</v>
      </c>
      <c r="F15" s="84">
        <f t="shared" si="4"/>
        <v>90.58415118790496</v>
      </c>
      <c r="G15" s="19">
        <f t="shared" si="2"/>
        <v>5394.376787390929</v>
      </c>
      <c r="H15" s="21">
        <f>5247+200-53</f>
        <v>5394</v>
      </c>
      <c r="I15" s="21">
        <f t="shared" si="3"/>
        <v>-0.3767873909291666</v>
      </c>
      <c r="J15" s="8" t="s">
        <v>701</v>
      </c>
    </row>
    <row r="16" spans="1:9" s="8" customFormat="1" ht="15">
      <c r="A16" s="4" t="s">
        <v>601</v>
      </c>
      <c r="B16" s="22">
        <v>23.16</v>
      </c>
      <c r="C16" s="22">
        <f t="shared" si="0"/>
        <v>2.3160000000000003</v>
      </c>
      <c r="D16" s="22">
        <v>1200</v>
      </c>
      <c r="E16" s="84">
        <f t="shared" si="1"/>
        <v>6.095896328293736</v>
      </c>
      <c r="F16" s="84">
        <f t="shared" si="4"/>
        <v>31.571896328293736</v>
      </c>
      <c r="G16" s="19">
        <f t="shared" si="2"/>
        <v>1880.1379982462204</v>
      </c>
      <c r="H16" s="21">
        <f>1864+16</f>
        <v>1880</v>
      </c>
      <c r="I16" s="21">
        <f t="shared" si="3"/>
        <v>-0.13799824622037704</v>
      </c>
    </row>
    <row r="17" spans="1:10" s="8" customFormat="1" ht="15">
      <c r="A17" s="4" t="s">
        <v>224</v>
      </c>
      <c r="B17" s="85"/>
      <c r="C17" s="85"/>
      <c r="D17" s="22">
        <v>5460</v>
      </c>
      <c r="E17" s="84">
        <f t="shared" si="1"/>
        <v>27.7363282937365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225.80999999999997</v>
      </c>
      <c r="C18" s="86"/>
      <c r="D18" s="86">
        <f>SUM(D4:D17)</f>
        <v>11575</v>
      </c>
      <c r="E18" s="86">
        <v>58.8</v>
      </c>
      <c r="F18" s="113"/>
      <c r="G18" s="28"/>
      <c r="H18" s="28"/>
      <c r="I18" s="28"/>
    </row>
    <row r="20" ht="27.75" customHeight="1">
      <c r="A20" s="107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42126</v>
      </c>
      <c r="C1" s="10"/>
      <c r="D1" s="10"/>
      <c r="E1" s="10"/>
      <c r="F1" s="11" t="s">
        <v>206</v>
      </c>
      <c r="G1" s="106">
        <v>58.433</v>
      </c>
      <c r="H1" s="8" t="s">
        <v>207</v>
      </c>
    </row>
    <row r="2" s="8" customFormat="1" ht="23.25" customHeight="1">
      <c r="A2" s="33"/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607</v>
      </c>
      <c r="B4" s="22">
        <v>29.75</v>
      </c>
      <c r="C4" s="22">
        <f aca="true" t="shared" si="0" ref="C4:C16">B4*0.1</f>
        <v>2.975</v>
      </c>
      <c r="D4" s="22">
        <v>1430</v>
      </c>
      <c r="E4" s="84">
        <f aca="true" t="shared" si="1" ref="E4:E17">D4/$D$18*$E$18</f>
        <v>7.573840206185568</v>
      </c>
      <c r="F4" s="84">
        <f>B4+E4+C4</f>
        <v>40.29884020618557</v>
      </c>
      <c r="G4" s="19">
        <f aca="true" t="shared" si="2" ref="G4:G16">F4*$G$1</f>
        <v>2354.782129768041</v>
      </c>
      <c r="H4" s="119">
        <f>2321+34</f>
        <v>2355</v>
      </c>
      <c r="I4" s="21">
        <f aca="true" t="shared" si="3" ref="I4:I16">H4-G4</f>
        <v>0.21787023195884103</v>
      </c>
    </row>
    <row r="5" spans="1:9" s="8" customFormat="1" ht="15">
      <c r="A5" s="4" t="s">
        <v>519</v>
      </c>
      <c r="B5" s="22">
        <v>12</v>
      </c>
      <c r="C5" s="22">
        <f t="shared" si="0"/>
        <v>1.2000000000000002</v>
      </c>
      <c r="D5" s="22">
        <v>790</v>
      </c>
      <c r="E5" s="84">
        <f t="shared" si="1"/>
        <v>4.184149484536083</v>
      </c>
      <c r="F5" s="84">
        <f aca="true" t="shared" si="4" ref="F5:F16">B5+E5+C5</f>
        <v>17.38414948453608</v>
      </c>
      <c r="G5" s="19">
        <f t="shared" si="2"/>
        <v>1015.8080068298968</v>
      </c>
      <c r="H5" s="21">
        <f>992+5</f>
        <v>997</v>
      </c>
      <c r="I5" s="21">
        <f t="shared" si="3"/>
        <v>-18.80800682989684</v>
      </c>
    </row>
    <row r="6" spans="1:9" s="8" customFormat="1" ht="15">
      <c r="A6" s="4" t="s">
        <v>91</v>
      </c>
      <c r="B6" s="22">
        <v>9.92</v>
      </c>
      <c r="C6" s="22">
        <f t="shared" si="0"/>
        <v>0.992</v>
      </c>
      <c r="D6" s="22">
        <v>90</v>
      </c>
      <c r="E6" s="84">
        <f t="shared" si="1"/>
        <v>0.4766752577319588</v>
      </c>
      <c r="F6" s="84">
        <f t="shared" si="4"/>
        <v>11.388675257731958</v>
      </c>
      <c r="G6" s="19">
        <f t="shared" si="2"/>
        <v>665.4744613350515</v>
      </c>
      <c r="H6" s="21">
        <f>656+10</f>
        <v>666</v>
      </c>
      <c r="I6" s="21">
        <f t="shared" si="3"/>
        <v>0.525538664948499</v>
      </c>
    </row>
    <row r="7" spans="1:9" s="8" customFormat="1" ht="15">
      <c r="A7" s="3" t="s">
        <v>608</v>
      </c>
      <c r="B7" s="22">
        <v>16.58</v>
      </c>
      <c r="C7" s="22">
        <f t="shared" si="0"/>
        <v>1.658</v>
      </c>
      <c r="D7" s="22">
        <v>460</v>
      </c>
      <c r="E7" s="84">
        <f t="shared" si="1"/>
        <v>2.436340206185567</v>
      </c>
      <c r="F7" s="84">
        <f t="shared" si="4"/>
        <v>20.674340206185565</v>
      </c>
      <c r="G7" s="19">
        <f t="shared" si="2"/>
        <v>1208.063721268041</v>
      </c>
      <c r="H7" s="21">
        <f>1202+6</f>
        <v>1208</v>
      </c>
      <c r="I7" s="21">
        <f t="shared" si="3"/>
        <v>-0.06372126804103573</v>
      </c>
    </row>
    <row r="8" spans="1:9" s="8" customFormat="1" ht="15">
      <c r="A8" s="4" t="s">
        <v>584</v>
      </c>
      <c r="B8" s="22">
        <v>5.375</v>
      </c>
      <c r="C8" s="22">
        <f t="shared" si="0"/>
        <v>0.5375</v>
      </c>
      <c r="D8" s="22">
        <v>570</v>
      </c>
      <c r="E8" s="84">
        <f t="shared" si="1"/>
        <v>3.0189432989690723</v>
      </c>
      <c r="F8" s="84">
        <f t="shared" si="4"/>
        <v>8.931443298969072</v>
      </c>
      <c r="G8" s="19">
        <f t="shared" si="2"/>
        <v>521.8910262886598</v>
      </c>
      <c r="H8" s="21">
        <f>49</f>
        <v>49</v>
      </c>
      <c r="I8" s="21">
        <f t="shared" si="3"/>
        <v>-472.89102628865976</v>
      </c>
    </row>
    <row r="9" spans="1:10" s="8" customFormat="1" ht="15">
      <c r="A9" s="4" t="s">
        <v>388</v>
      </c>
      <c r="B9" s="123" t="s">
        <v>628</v>
      </c>
      <c r="C9" s="123"/>
      <c r="D9" s="123"/>
      <c r="E9" s="84">
        <f t="shared" si="1"/>
        <v>0</v>
      </c>
      <c r="F9" s="84"/>
      <c r="G9" s="19"/>
      <c r="H9" s="21">
        <v>519</v>
      </c>
      <c r="I9" s="21">
        <f>H9-G9-498</f>
        <v>21</v>
      </c>
      <c r="J9" s="8" t="s">
        <v>640</v>
      </c>
    </row>
    <row r="10" spans="1:9" s="8" customFormat="1" ht="15">
      <c r="A10" s="4" t="s">
        <v>609</v>
      </c>
      <c r="B10" s="22">
        <v>14.84</v>
      </c>
      <c r="C10" s="22">
        <f>B10*0.1</f>
        <v>1.484</v>
      </c>
      <c r="D10" s="22">
        <v>730</v>
      </c>
      <c r="E10" s="84">
        <f t="shared" si="1"/>
        <v>3.8663659793814436</v>
      </c>
      <c r="F10" s="84">
        <f>B10+E10+C10</f>
        <v>20.190365979381447</v>
      </c>
      <c r="G10" s="19">
        <f>F10*$G$1</f>
        <v>1179.783655273196</v>
      </c>
      <c r="H10" s="21">
        <f>1155+25</f>
        <v>1180</v>
      </c>
      <c r="I10" s="21">
        <f>H10-G10</f>
        <v>0.21634472680398176</v>
      </c>
    </row>
    <row r="11" spans="1:9" s="8" customFormat="1" ht="15">
      <c r="A11" s="3" t="s">
        <v>495</v>
      </c>
      <c r="B11" s="22">
        <v>24.84</v>
      </c>
      <c r="C11" s="22">
        <f>B11*0.1</f>
        <v>2.484</v>
      </c>
      <c r="D11" s="22">
        <v>250</v>
      </c>
      <c r="E11" s="84">
        <f t="shared" si="1"/>
        <v>1.3240979381443299</v>
      </c>
      <c r="F11" s="84">
        <f>B11+E11+C11</f>
        <v>28.648097938144332</v>
      </c>
      <c r="G11" s="19">
        <f>F11*$G$1</f>
        <v>1673.9943068195878</v>
      </c>
      <c r="H11" s="21">
        <v>1687</v>
      </c>
      <c r="I11" s="21">
        <f>H11-G11</f>
        <v>13.005693180412209</v>
      </c>
    </row>
    <row r="12" spans="1:9" s="8" customFormat="1" ht="15">
      <c r="A12" s="4" t="s">
        <v>418</v>
      </c>
      <c r="B12" s="108">
        <v>13.25</v>
      </c>
      <c r="C12" s="22">
        <f>B12*0.1</f>
        <v>1.3250000000000002</v>
      </c>
      <c r="D12" s="22">
        <v>560</v>
      </c>
      <c r="E12" s="84">
        <f t="shared" si="1"/>
        <v>2.9659793814432986</v>
      </c>
      <c r="F12" s="84">
        <f>B12+E12+C12</f>
        <v>17.540979381443297</v>
      </c>
      <c r="G12" s="19">
        <f>F12*$G$1</f>
        <v>1024.9720481958761</v>
      </c>
      <c r="H12" s="21">
        <v>1019</v>
      </c>
      <c r="I12" s="21">
        <f>H12-G12</f>
        <v>-5.972048195876141</v>
      </c>
    </row>
    <row r="13" spans="1:9" s="8" customFormat="1" ht="15">
      <c r="A13" s="4" t="s">
        <v>414</v>
      </c>
      <c r="B13" s="108">
        <v>12</v>
      </c>
      <c r="C13" s="22">
        <f t="shared" si="0"/>
        <v>1.2000000000000002</v>
      </c>
      <c r="D13" s="22">
        <v>1820</v>
      </c>
      <c r="E13" s="84">
        <f t="shared" si="1"/>
        <v>9.639432989690722</v>
      </c>
      <c r="F13" s="84">
        <f t="shared" si="4"/>
        <v>22.83943298969072</v>
      </c>
      <c r="G13" s="19">
        <f t="shared" si="2"/>
        <v>1334.576587886598</v>
      </c>
      <c r="H13" s="21">
        <f>1104+136</f>
        <v>1240</v>
      </c>
      <c r="I13" s="21">
        <f t="shared" si="3"/>
        <v>-94.57658788659796</v>
      </c>
    </row>
    <row r="14" spans="1:9" s="8" customFormat="1" ht="15">
      <c r="A14" s="3" t="s">
        <v>102</v>
      </c>
      <c r="B14" s="22">
        <v>14.75</v>
      </c>
      <c r="C14" s="22">
        <f t="shared" si="0"/>
        <v>1.475</v>
      </c>
      <c r="D14" s="22">
        <v>1380</v>
      </c>
      <c r="E14" s="84">
        <f t="shared" si="1"/>
        <v>7.309020618556701</v>
      </c>
      <c r="F14" s="84">
        <f t="shared" si="4"/>
        <v>23.534020618556703</v>
      </c>
      <c r="G14" s="19">
        <f t="shared" si="2"/>
        <v>1375.163426804124</v>
      </c>
      <c r="H14" s="21">
        <v>1880</v>
      </c>
      <c r="I14" s="21">
        <f t="shared" si="3"/>
        <v>504.8365731958761</v>
      </c>
    </row>
    <row r="15" spans="1:9" s="8" customFormat="1" ht="15">
      <c r="A15" s="4" t="s">
        <v>453</v>
      </c>
      <c r="B15" s="22">
        <v>18.16</v>
      </c>
      <c r="C15" s="22">
        <f t="shared" si="0"/>
        <v>1.816</v>
      </c>
      <c r="D15" s="22">
        <v>2200</v>
      </c>
      <c r="E15" s="84">
        <f t="shared" si="1"/>
        <v>11.652061855670103</v>
      </c>
      <c r="F15" s="84">
        <f t="shared" si="4"/>
        <v>31.6280618556701</v>
      </c>
      <c r="G15" s="19">
        <f t="shared" si="2"/>
        <v>1848.122538412371</v>
      </c>
      <c r="H15" s="21">
        <f>1838+9+10</f>
        <v>1857</v>
      </c>
      <c r="I15" s="21">
        <f t="shared" si="3"/>
        <v>8.877461587629114</v>
      </c>
    </row>
    <row r="16" spans="1:9" s="8" customFormat="1" ht="15">
      <c r="A16" s="4" t="s">
        <v>586</v>
      </c>
      <c r="B16" s="22">
        <v>40.99</v>
      </c>
      <c r="C16" s="22">
        <f t="shared" si="0"/>
        <v>4.099</v>
      </c>
      <c r="D16" s="22">
        <v>2660</v>
      </c>
      <c r="E16" s="84">
        <f t="shared" si="1"/>
        <v>14.088402061855671</v>
      </c>
      <c r="F16" s="84">
        <f t="shared" si="4"/>
        <v>59.17740206185567</v>
      </c>
      <c r="G16" s="19">
        <f t="shared" si="2"/>
        <v>3457.9131346804124</v>
      </c>
      <c r="H16" s="21">
        <f>3440+4</f>
        <v>3444</v>
      </c>
      <c r="I16" s="21">
        <f t="shared" si="3"/>
        <v>-13.91313468041244</v>
      </c>
    </row>
    <row r="17" spans="1:10" s="8" customFormat="1" ht="15">
      <c r="A17" s="4" t="s">
        <v>224</v>
      </c>
      <c r="B17" s="85"/>
      <c r="C17" s="85"/>
      <c r="D17" s="22">
        <v>2580</v>
      </c>
      <c r="E17" s="84">
        <f t="shared" si="1"/>
        <v>13.664690721649484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212.455</v>
      </c>
      <c r="C18" s="86"/>
      <c r="D18" s="86">
        <f>SUM(D4:D17)</f>
        <v>15520</v>
      </c>
      <c r="E18" s="86">
        <v>82.2</v>
      </c>
      <c r="F18" s="113"/>
      <c r="G18" s="28"/>
      <c r="H18" s="28"/>
      <c r="I18" s="28"/>
    </row>
    <row r="20" ht="28.5">
      <c r="A20" s="107"/>
    </row>
    <row r="21" ht="28.5">
      <c r="A21" s="107"/>
    </row>
    <row r="22" ht="27.75" customHeight="1">
      <c r="A22" s="107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42141</v>
      </c>
      <c r="C1" s="10"/>
      <c r="D1" s="10"/>
      <c r="E1" s="10"/>
      <c r="F1" s="11" t="s">
        <v>206</v>
      </c>
      <c r="G1" s="106">
        <v>57.82</v>
      </c>
      <c r="H1" s="8" t="s">
        <v>207</v>
      </c>
    </row>
    <row r="2" s="8" customFormat="1" ht="23.25" customHeight="1">
      <c r="A2" s="33"/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614</v>
      </c>
      <c r="B4" s="22">
        <v>7.42</v>
      </c>
      <c r="C4" s="22">
        <f aca="true" t="shared" si="0" ref="C4:C15">B4*0.1</f>
        <v>0.742</v>
      </c>
      <c r="D4" s="22">
        <v>450</v>
      </c>
      <c r="E4" s="84">
        <f aca="true" t="shared" si="1" ref="E4:E16">D4/$D$17*$E$17</f>
        <v>2.3070318887980377</v>
      </c>
      <c r="F4" s="84">
        <f>B4+E4+C4</f>
        <v>10.469031888798039</v>
      </c>
      <c r="G4" s="19">
        <f aca="true" t="shared" si="2" ref="G4:G15">F4*$G$1</f>
        <v>605.3194238103026</v>
      </c>
      <c r="H4" s="21">
        <v>621</v>
      </c>
      <c r="I4" s="21">
        <f aca="true" t="shared" si="3" ref="I4:I15">H4-G4</f>
        <v>15.680576189697376</v>
      </c>
    </row>
    <row r="5" spans="1:9" s="8" customFormat="1" ht="15">
      <c r="A5" s="4" t="s">
        <v>586</v>
      </c>
      <c r="B5" s="22">
        <v>17.34</v>
      </c>
      <c r="C5" s="22">
        <f t="shared" si="0"/>
        <v>1.734</v>
      </c>
      <c r="D5" s="22">
        <v>280</v>
      </c>
      <c r="E5" s="84">
        <f t="shared" si="1"/>
        <v>1.4354865085854456</v>
      </c>
      <c r="F5" s="84">
        <f aca="true" t="shared" si="4" ref="F5:F15">B5+E5+C5</f>
        <v>20.509486508585447</v>
      </c>
      <c r="G5" s="19">
        <f t="shared" si="2"/>
        <v>1185.8585099264105</v>
      </c>
      <c r="H5" s="21">
        <v>1200</v>
      </c>
      <c r="I5" s="21">
        <f t="shared" si="3"/>
        <v>14.141490073589466</v>
      </c>
    </row>
    <row r="6" spans="1:9" s="8" customFormat="1" ht="15">
      <c r="A6" s="4" t="s">
        <v>128</v>
      </c>
      <c r="B6" s="22">
        <v>14.08</v>
      </c>
      <c r="C6" s="22">
        <f t="shared" si="0"/>
        <v>1.4080000000000001</v>
      </c>
      <c r="D6" s="22">
        <v>830</v>
      </c>
      <c r="E6" s="84">
        <f t="shared" si="1"/>
        <v>4.255192150449714</v>
      </c>
      <c r="F6" s="84">
        <f t="shared" si="4"/>
        <v>19.743192150449715</v>
      </c>
      <c r="G6" s="19">
        <f t="shared" si="2"/>
        <v>1141.5513701390025</v>
      </c>
      <c r="H6" s="21">
        <v>1168</v>
      </c>
      <c r="I6" s="21">
        <f t="shared" si="3"/>
        <v>26.44862986099747</v>
      </c>
    </row>
    <row r="7" spans="1:9" s="8" customFormat="1" ht="15">
      <c r="A7" s="3" t="s">
        <v>615</v>
      </c>
      <c r="B7" s="22">
        <v>7.46</v>
      </c>
      <c r="C7" s="22">
        <f t="shared" si="0"/>
        <v>0.746</v>
      </c>
      <c r="D7" s="22">
        <v>460</v>
      </c>
      <c r="E7" s="84">
        <f t="shared" si="1"/>
        <v>2.358299264104661</v>
      </c>
      <c r="F7" s="84">
        <f t="shared" si="4"/>
        <v>10.564299264104662</v>
      </c>
      <c r="G7" s="19">
        <f t="shared" si="2"/>
        <v>610.8277834505316</v>
      </c>
      <c r="H7" s="21">
        <v>650</v>
      </c>
      <c r="I7" s="21">
        <f t="shared" si="3"/>
        <v>39.17221654946843</v>
      </c>
    </row>
    <row r="8" spans="1:10" s="8" customFormat="1" ht="15">
      <c r="A8" s="4" t="s">
        <v>616</v>
      </c>
      <c r="B8" s="22">
        <v>97.33</v>
      </c>
      <c r="C8" s="22">
        <f t="shared" si="0"/>
        <v>9.733</v>
      </c>
      <c r="D8" s="22">
        <v>1440</v>
      </c>
      <c r="E8" s="84">
        <f t="shared" si="1"/>
        <v>7.38250204415372</v>
      </c>
      <c r="F8" s="84">
        <f t="shared" si="4"/>
        <v>114.44550204415373</v>
      </c>
      <c r="G8" s="19">
        <f t="shared" si="2"/>
        <v>6617.238928192968</v>
      </c>
      <c r="H8" s="21">
        <f>6700-15-68</f>
        <v>6617</v>
      </c>
      <c r="I8" s="21">
        <f t="shared" si="3"/>
        <v>-0.23892819296816015</v>
      </c>
      <c r="J8" s="8" t="s">
        <v>641</v>
      </c>
    </row>
    <row r="9" spans="1:9" s="8" customFormat="1" ht="15">
      <c r="A9" s="4" t="s">
        <v>8</v>
      </c>
      <c r="B9" s="22">
        <v>37.3</v>
      </c>
      <c r="C9" s="22">
        <f>B9*0.1</f>
        <v>3.73</v>
      </c>
      <c r="D9" s="22">
        <v>1460</v>
      </c>
      <c r="E9" s="84">
        <f t="shared" si="1"/>
        <v>7.485036794766967</v>
      </c>
      <c r="F9" s="84">
        <f>B9+E9+C9</f>
        <v>48.515036794766964</v>
      </c>
      <c r="G9" s="19">
        <f>F9*$G$1</f>
        <v>2805.1394274734257</v>
      </c>
      <c r="H9" s="21">
        <v>2793</v>
      </c>
      <c r="I9" s="21">
        <f>H9-G9</f>
        <v>-12.139427473425712</v>
      </c>
    </row>
    <row r="10" spans="1:9" s="8" customFormat="1" ht="15">
      <c r="A10" s="4" t="s">
        <v>617</v>
      </c>
      <c r="B10" s="22">
        <v>3.75</v>
      </c>
      <c r="C10" s="22">
        <f>B10*0.1</f>
        <v>0.375</v>
      </c>
      <c r="D10" s="22">
        <v>160</v>
      </c>
      <c r="E10" s="84">
        <f t="shared" si="1"/>
        <v>0.820278004905969</v>
      </c>
      <c r="F10" s="84">
        <f>B10+E10+C10</f>
        <v>4.945278004905969</v>
      </c>
      <c r="G10" s="19">
        <f>F10*$G$1</f>
        <v>285.9359742436631</v>
      </c>
      <c r="H10" s="21">
        <v>300</v>
      </c>
      <c r="I10" s="21">
        <f>H10-G10</f>
        <v>14.06402575633689</v>
      </c>
    </row>
    <row r="11" spans="1:9" s="8" customFormat="1" ht="15">
      <c r="A11" s="3" t="s">
        <v>11</v>
      </c>
      <c r="B11" s="22">
        <v>8.25</v>
      </c>
      <c r="C11" s="22">
        <f>B11*0.1</f>
        <v>0.8250000000000001</v>
      </c>
      <c r="D11" s="22">
        <v>140</v>
      </c>
      <c r="E11" s="84">
        <f t="shared" si="1"/>
        <v>0.7177432542927228</v>
      </c>
      <c r="F11" s="84">
        <f>B11+E11+C11</f>
        <v>9.792743254292722</v>
      </c>
      <c r="G11" s="19">
        <f>F11*$G$1</f>
        <v>566.2164149632051</v>
      </c>
      <c r="H11" s="21">
        <v>567</v>
      </c>
      <c r="I11" s="21">
        <f>H11-G11</f>
        <v>0.7835850367948751</v>
      </c>
    </row>
    <row r="12" spans="1:9" s="8" customFormat="1" ht="15">
      <c r="A12" s="4" t="s">
        <v>618</v>
      </c>
      <c r="B12" s="108">
        <v>17.35</v>
      </c>
      <c r="C12" s="22">
        <f>B12*0.1</f>
        <v>1.7350000000000003</v>
      </c>
      <c r="D12" s="22">
        <v>520</v>
      </c>
      <c r="E12" s="84">
        <f t="shared" si="1"/>
        <v>2.6659035159443993</v>
      </c>
      <c r="F12" s="84">
        <f>B12+E12+C12</f>
        <v>21.7509035159444</v>
      </c>
      <c r="G12" s="19">
        <f>F12*$G$1</f>
        <v>1257.6372412919052</v>
      </c>
      <c r="H12" s="21">
        <v>1250</v>
      </c>
      <c r="I12" s="21">
        <f>H12-G12</f>
        <v>-7.637241291905184</v>
      </c>
    </row>
    <row r="13" spans="1:9" s="8" customFormat="1" ht="15">
      <c r="A13" s="4" t="s">
        <v>115</v>
      </c>
      <c r="B13" s="108">
        <v>12.96</v>
      </c>
      <c r="C13" s="22">
        <f t="shared" si="0"/>
        <v>1.2960000000000003</v>
      </c>
      <c r="D13" s="22">
        <v>820</v>
      </c>
      <c r="E13" s="84">
        <f t="shared" si="1"/>
        <v>4.203924775143091</v>
      </c>
      <c r="F13" s="84">
        <f t="shared" si="4"/>
        <v>18.45992477514309</v>
      </c>
      <c r="G13" s="19">
        <f t="shared" si="2"/>
        <v>1067.3528504987735</v>
      </c>
      <c r="H13" s="21">
        <v>1140</v>
      </c>
      <c r="I13" s="21">
        <f t="shared" si="3"/>
        <v>72.64714950122652</v>
      </c>
    </row>
    <row r="14" spans="1:9" s="8" customFormat="1" ht="15">
      <c r="A14" s="3" t="s">
        <v>619</v>
      </c>
      <c r="B14" s="22">
        <v>12.08</v>
      </c>
      <c r="C14" s="22">
        <f t="shared" si="0"/>
        <v>1.2080000000000002</v>
      </c>
      <c r="D14" s="22">
        <v>460</v>
      </c>
      <c r="E14" s="84">
        <f t="shared" si="1"/>
        <v>2.358299264104661</v>
      </c>
      <c r="F14" s="84">
        <f t="shared" si="4"/>
        <v>15.64629926410466</v>
      </c>
      <c r="G14" s="19">
        <f t="shared" si="2"/>
        <v>904.6690234505315</v>
      </c>
      <c r="H14" s="21">
        <v>913</v>
      </c>
      <c r="I14" s="21">
        <f t="shared" si="3"/>
        <v>8.33097654946846</v>
      </c>
    </row>
    <row r="15" spans="1:9" s="8" customFormat="1" ht="15">
      <c r="A15" s="4" t="s">
        <v>134</v>
      </c>
      <c r="B15" s="22">
        <v>7.08</v>
      </c>
      <c r="C15" s="22">
        <f t="shared" si="0"/>
        <v>0.7080000000000001</v>
      </c>
      <c r="D15" s="22">
        <v>230</v>
      </c>
      <c r="E15" s="84">
        <f t="shared" si="1"/>
        <v>1.1791496320523305</v>
      </c>
      <c r="F15" s="84">
        <f t="shared" si="4"/>
        <v>8.967149632052331</v>
      </c>
      <c r="G15" s="19">
        <f t="shared" si="2"/>
        <v>518.4805917252658</v>
      </c>
      <c r="H15" s="21">
        <v>541</v>
      </c>
      <c r="I15" s="21">
        <f t="shared" si="3"/>
        <v>22.519408274734246</v>
      </c>
    </row>
    <row r="16" spans="1:10" s="8" customFormat="1" ht="15">
      <c r="A16" s="4" t="s">
        <v>224</v>
      </c>
      <c r="B16" s="85"/>
      <c r="C16" s="85"/>
      <c r="D16" s="22">
        <v>4980</v>
      </c>
      <c r="E16" s="84">
        <f t="shared" si="1"/>
        <v>25.531152902698285</v>
      </c>
      <c r="F16" s="85"/>
      <c r="G16" s="28"/>
      <c r="H16" s="28"/>
      <c r="I16" s="28"/>
      <c r="J16" s="32"/>
    </row>
    <row r="17" spans="1:9" s="8" customFormat="1" ht="15">
      <c r="A17" s="25"/>
      <c r="B17" s="86">
        <f>SUM(B4:B16)</f>
        <v>242.40000000000003</v>
      </c>
      <c r="C17" s="86"/>
      <c r="D17" s="86">
        <f>SUM(D4:D16)</f>
        <v>12230</v>
      </c>
      <c r="E17" s="86">
        <v>62.7</v>
      </c>
      <c r="F17" s="113"/>
      <c r="G17" s="28"/>
      <c r="H17" s="28"/>
      <c r="I17" s="28"/>
    </row>
    <row r="19" ht="28.5">
      <c r="A19" s="107"/>
    </row>
    <row r="20" ht="28.5">
      <c r="A20" s="107"/>
    </row>
    <row r="21" ht="27.75" customHeight="1">
      <c r="A21" s="107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42146</v>
      </c>
      <c r="C1" s="10"/>
      <c r="D1" s="10"/>
      <c r="E1" s="10"/>
      <c r="F1" s="11" t="s">
        <v>206</v>
      </c>
      <c r="G1" s="106">
        <v>57.46</v>
      </c>
      <c r="H1" s="8" t="s">
        <v>207</v>
      </c>
    </row>
    <row r="2" s="8" customFormat="1" ht="23.25" customHeight="1">
      <c r="A2" s="33"/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8" customFormat="1" ht="15">
      <c r="A4" s="3" t="s">
        <v>126</v>
      </c>
      <c r="B4" s="22">
        <v>5.375</v>
      </c>
      <c r="C4" s="22">
        <f aca="true" t="shared" si="0" ref="C4:C13">B4*0.1</f>
        <v>0.5375</v>
      </c>
      <c r="D4" s="22">
        <v>570</v>
      </c>
      <c r="E4" s="84">
        <f aca="true" t="shared" si="1" ref="E4:E14">D4/$D$15*$E$15</f>
        <v>2.759958791208791</v>
      </c>
      <c r="F4" s="84">
        <f>B4+E4+C4</f>
        <v>8.672458791208792</v>
      </c>
      <c r="G4" s="19">
        <f aca="true" t="shared" si="2" ref="G4:G13">F4*$G$1</f>
        <v>498.31948214285717</v>
      </c>
      <c r="H4" s="21">
        <v>489</v>
      </c>
      <c r="I4" s="21">
        <f aca="true" t="shared" si="3" ref="I4:I13">H4-G4</f>
        <v>-9.319482142857169</v>
      </c>
    </row>
    <row r="5" spans="1:9" s="8" customFormat="1" ht="15">
      <c r="A5" s="4" t="s">
        <v>493</v>
      </c>
      <c r="B5" s="22">
        <v>16.58</v>
      </c>
      <c r="C5" s="22">
        <f t="shared" si="0"/>
        <v>1.658</v>
      </c>
      <c r="D5" s="22">
        <v>1150</v>
      </c>
      <c r="E5" s="84">
        <f t="shared" si="1"/>
        <v>5.5683379120879115</v>
      </c>
      <c r="F5" s="84">
        <f aca="true" t="shared" si="4" ref="F5:F13">B5+E5+C5</f>
        <v>23.806337912087912</v>
      </c>
      <c r="G5" s="19">
        <f t="shared" si="2"/>
        <v>1367.9121764285715</v>
      </c>
      <c r="H5" s="21">
        <f>1352+16</f>
        <v>1368</v>
      </c>
      <c r="I5" s="21">
        <f t="shared" si="3"/>
        <v>0.0878235714285438</v>
      </c>
    </row>
    <row r="6" spans="1:9" s="8" customFormat="1" ht="15">
      <c r="A6" s="4" t="s">
        <v>127</v>
      </c>
      <c r="B6" s="22">
        <v>16.58</v>
      </c>
      <c r="C6" s="22">
        <f>B6*0.1</f>
        <v>1.658</v>
      </c>
      <c r="D6" s="22">
        <v>1150</v>
      </c>
      <c r="E6" s="84">
        <f t="shared" si="1"/>
        <v>5.5683379120879115</v>
      </c>
      <c r="F6" s="84">
        <f t="shared" si="4"/>
        <v>23.806337912087912</v>
      </c>
      <c r="G6" s="19">
        <f t="shared" si="2"/>
        <v>1367.9121764285715</v>
      </c>
      <c r="H6" s="21">
        <v>1395</v>
      </c>
      <c r="I6" s="21">
        <f t="shared" si="3"/>
        <v>27.087823571428544</v>
      </c>
    </row>
    <row r="7" spans="1:10" s="8" customFormat="1" ht="15">
      <c r="A7" s="3" t="s">
        <v>623</v>
      </c>
      <c r="B7" s="22">
        <v>9.58</v>
      </c>
      <c r="C7" s="22">
        <f t="shared" si="0"/>
        <v>0.9580000000000001</v>
      </c>
      <c r="D7" s="22">
        <v>570</v>
      </c>
      <c r="E7" s="84">
        <f t="shared" si="1"/>
        <v>2.759958791208791</v>
      </c>
      <c r="F7" s="84">
        <f t="shared" si="4"/>
        <v>13.29795879120879</v>
      </c>
      <c r="G7" s="19">
        <f t="shared" si="2"/>
        <v>764.1007121428571</v>
      </c>
      <c r="H7" s="21">
        <f>870-106</f>
        <v>764</v>
      </c>
      <c r="I7" s="21">
        <f t="shared" si="3"/>
        <v>-0.10071214285710539</v>
      </c>
      <c r="J7" s="8" t="s">
        <v>642</v>
      </c>
    </row>
    <row r="8" spans="1:9" s="8" customFormat="1" ht="15">
      <c r="A8" s="4" t="s">
        <v>115</v>
      </c>
      <c r="B8" s="22">
        <v>21.5</v>
      </c>
      <c r="C8" s="22">
        <f t="shared" si="0"/>
        <v>2.15</v>
      </c>
      <c r="D8" s="22">
        <v>270</v>
      </c>
      <c r="E8" s="84">
        <f t="shared" si="1"/>
        <v>1.307348901098901</v>
      </c>
      <c r="F8" s="84">
        <f t="shared" si="4"/>
        <v>24.9573489010989</v>
      </c>
      <c r="G8" s="19">
        <f t="shared" si="2"/>
        <v>1434.049267857143</v>
      </c>
      <c r="H8" s="21">
        <v>1417</v>
      </c>
      <c r="I8" s="21">
        <f t="shared" si="3"/>
        <v>-17.049267857142922</v>
      </c>
    </row>
    <row r="9" spans="1:9" s="8" customFormat="1" ht="15">
      <c r="A9" s="4" t="s">
        <v>495</v>
      </c>
      <c r="B9" s="22">
        <v>16.58</v>
      </c>
      <c r="C9" s="22">
        <f t="shared" si="0"/>
        <v>1.658</v>
      </c>
      <c r="D9" s="22">
        <v>1150</v>
      </c>
      <c r="E9" s="84">
        <f t="shared" si="1"/>
        <v>5.5683379120879115</v>
      </c>
      <c r="F9" s="84">
        <f>B9+E9+C9</f>
        <v>23.806337912087912</v>
      </c>
      <c r="G9" s="19">
        <f>F9*$G$1</f>
        <v>1367.9121764285715</v>
      </c>
      <c r="H9" s="21">
        <f>1360+16</f>
        <v>1376</v>
      </c>
      <c r="I9" s="21">
        <f>H9-G9</f>
        <v>8.087823571428544</v>
      </c>
    </row>
    <row r="10" spans="1:9" s="8" customFormat="1" ht="15">
      <c r="A10" s="122" t="s">
        <v>627</v>
      </c>
      <c r="B10" s="22">
        <v>70.5</v>
      </c>
      <c r="C10" s="22">
        <f>B10*0.1</f>
        <v>7.050000000000001</v>
      </c>
      <c r="D10" s="22">
        <v>5190</v>
      </c>
      <c r="E10" s="84">
        <f t="shared" si="1"/>
        <v>25.1301510989011</v>
      </c>
      <c r="F10" s="84">
        <f>B10+E10+C10</f>
        <v>102.68015109890109</v>
      </c>
      <c r="G10" s="19">
        <f>F10*$G$1</f>
        <v>5900.001482142857</v>
      </c>
      <c r="H10" s="21">
        <f>5830+70</f>
        <v>5900</v>
      </c>
      <c r="I10" s="21">
        <f>H10-G10</f>
        <v>-0.0014821428567302064</v>
      </c>
    </row>
    <row r="11" spans="1:9" s="8" customFormat="1" ht="15">
      <c r="A11" s="3" t="s">
        <v>418</v>
      </c>
      <c r="B11" s="22">
        <v>62.1</v>
      </c>
      <c r="C11" s="22">
        <f>B11*0.1</f>
        <v>6.210000000000001</v>
      </c>
      <c r="D11" s="22">
        <v>550</v>
      </c>
      <c r="E11" s="84">
        <f t="shared" si="1"/>
        <v>2.663118131868132</v>
      </c>
      <c r="F11" s="84">
        <f>B11+E11+C11</f>
        <v>70.97311813186815</v>
      </c>
      <c r="G11" s="19">
        <f>F11*$G$1</f>
        <v>4078.115367857144</v>
      </c>
      <c r="H11" s="21">
        <v>4035</v>
      </c>
      <c r="I11" s="21">
        <f>H11-G11</f>
        <v>-43.115367857144065</v>
      </c>
    </row>
    <row r="12" spans="1:9" s="8" customFormat="1" ht="15">
      <c r="A12" s="4" t="s">
        <v>624</v>
      </c>
      <c r="B12" s="108">
        <v>9.08</v>
      </c>
      <c r="C12" s="22">
        <f>B12*0.1</f>
        <v>0.908</v>
      </c>
      <c r="D12" s="22">
        <v>1100</v>
      </c>
      <c r="E12" s="84">
        <f t="shared" si="1"/>
        <v>5.326236263736264</v>
      </c>
      <c r="F12" s="84">
        <f>B12+E12+C12</f>
        <v>15.314236263736264</v>
      </c>
      <c r="G12" s="19">
        <f>F12*$G$1</f>
        <v>879.9560157142857</v>
      </c>
      <c r="H12" s="21">
        <v>890</v>
      </c>
      <c r="I12" s="21">
        <f>H12-G12</f>
        <v>10.04398428571426</v>
      </c>
    </row>
    <row r="13" spans="1:9" s="8" customFormat="1" ht="15">
      <c r="A13" s="4" t="s">
        <v>625</v>
      </c>
      <c r="B13" s="108">
        <v>29</v>
      </c>
      <c r="C13" s="22">
        <f t="shared" si="0"/>
        <v>2.9000000000000004</v>
      </c>
      <c r="D13" s="22">
        <v>120</v>
      </c>
      <c r="E13" s="84">
        <f t="shared" si="1"/>
        <v>0.5810439560439561</v>
      </c>
      <c r="F13" s="84">
        <f t="shared" si="4"/>
        <v>32.481043956043955</v>
      </c>
      <c r="G13" s="19">
        <f t="shared" si="2"/>
        <v>1866.3607857142856</v>
      </c>
      <c r="H13" s="21">
        <v>1844</v>
      </c>
      <c r="I13" s="21">
        <f t="shared" si="3"/>
        <v>-22.360785714285612</v>
      </c>
    </row>
    <row r="14" spans="1:10" s="8" customFormat="1" ht="15">
      <c r="A14" s="4" t="s">
        <v>224</v>
      </c>
      <c r="B14" s="85"/>
      <c r="C14" s="85"/>
      <c r="D14" s="22">
        <v>2740</v>
      </c>
      <c r="E14" s="84">
        <f t="shared" si="1"/>
        <v>13.26717032967033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256.875</v>
      </c>
      <c r="C15" s="86"/>
      <c r="D15" s="86">
        <f>SUM(D4:D14)</f>
        <v>14560</v>
      </c>
      <c r="E15" s="1">
        <v>70.5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8" customFormat="1" ht="21.75" customHeight="1">
      <c r="A1" s="9" t="s">
        <v>205</v>
      </c>
      <c r="B1" s="10">
        <v>42156</v>
      </c>
      <c r="C1" s="10"/>
      <c r="D1" s="10"/>
      <c r="E1" s="10"/>
      <c r="F1" s="11" t="s">
        <v>206</v>
      </c>
      <c r="G1" s="106">
        <v>63.63</v>
      </c>
      <c r="H1" s="8" t="s">
        <v>207</v>
      </c>
    </row>
    <row r="2" s="8" customFormat="1" ht="23.25" customHeight="1">
      <c r="A2" s="33"/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4" t="s">
        <v>354</v>
      </c>
      <c r="B4" s="22">
        <v>8.29</v>
      </c>
      <c r="C4" s="22">
        <f>B4*0.1</f>
        <v>0.829</v>
      </c>
      <c r="D4" s="22">
        <v>570</v>
      </c>
      <c r="E4" s="84">
        <f>D4/$D$22*$E$22</f>
        <v>2.830974632843792</v>
      </c>
      <c r="F4" s="84">
        <f>B4+E4+C4</f>
        <v>11.94997463284379</v>
      </c>
      <c r="G4" s="19">
        <f>F4*$G$1</f>
        <v>760.3768858878504</v>
      </c>
      <c r="H4" s="21">
        <f>724+37</f>
        <v>761</v>
      </c>
      <c r="I4" s="21">
        <f>H4-G4</f>
        <v>0.6231141121495511</v>
      </c>
    </row>
    <row r="5" spans="1:10" s="15" customFormat="1" ht="30">
      <c r="A5" s="4" t="s">
        <v>126</v>
      </c>
      <c r="B5" s="22">
        <v>8.29</v>
      </c>
      <c r="C5" s="22">
        <f>B5*0.1</f>
        <v>0.829</v>
      </c>
      <c r="D5" s="22">
        <v>570</v>
      </c>
      <c r="E5" s="84">
        <f>D5/$D$22*$E$22</f>
        <v>2.830974632843792</v>
      </c>
      <c r="F5" s="84">
        <f>B5+E5+C5</f>
        <v>11.94997463284379</v>
      </c>
      <c r="G5" s="19">
        <f>F5*$G$1</f>
        <v>760.3768858878504</v>
      </c>
      <c r="H5" s="21">
        <f>730+10+27</f>
        <v>767</v>
      </c>
      <c r="I5" s="21">
        <f>H5-G5</f>
        <v>6.623114112149551</v>
      </c>
      <c r="J5" s="129" t="s">
        <v>649</v>
      </c>
    </row>
    <row r="6" spans="1:9" s="8" customFormat="1" ht="15">
      <c r="A6" s="3" t="s">
        <v>572</v>
      </c>
      <c r="B6" s="22">
        <v>7.08</v>
      </c>
      <c r="C6" s="22">
        <f aca="true" t="shared" si="0" ref="C6:C17">B6*0.1</f>
        <v>0.7080000000000001</v>
      </c>
      <c r="D6" s="22">
        <v>870</v>
      </c>
      <c r="E6" s="84">
        <f aca="true" t="shared" si="1" ref="E6:E21">D6/$D$22*$E$22</f>
        <v>4.320961281708946</v>
      </c>
      <c r="F6" s="84">
        <f>B6+E6+C6</f>
        <v>12.108961281708945</v>
      </c>
      <c r="G6" s="19">
        <f aca="true" t="shared" si="2" ref="G6:G17">F6*$G$1</f>
        <v>770.4932063551402</v>
      </c>
      <c r="H6" s="21">
        <f>727+43</f>
        <v>770</v>
      </c>
      <c r="I6" s="21">
        <f aca="true" t="shared" si="3" ref="I6:I17">H6-G6</f>
        <v>-0.49320635514015976</v>
      </c>
    </row>
    <row r="7" spans="1:9" s="8" customFormat="1" ht="15">
      <c r="A7" s="4" t="s">
        <v>625</v>
      </c>
      <c r="B7" s="22">
        <v>8.29</v>
      </c>
      <c r="C7" s="22">
        <f t="shared" si="0"/>
        <v>0.829</v>
      </c>
      <c r="D7" s="22">
        <v>570</v>
      </c>
      <c r="E7" s="84">
        <f t="shared" si="1"/>
        <v>2.830974632843792</v>
      </c>
      <c r="F7" s="84">
        <f aca="true" t="shared" si="4" ref="F7:F17">B7+E7+C7</f>
        <v>11.94997463284379</v>
      </c>
      <c r="G7" s="19">
        <f t="shared" si="2"/>
        <v>760.3768858878504</v>
      </c>
      <c r="H7" s="21">
        <f>724+59</f>
        <v>783</v>
      </c>
      <c r="I7" s="21">
        <f t="shared" si="3"/>
        <v>22.62311411214955</v>
      </c>
    </row>
    <row r="8" spans="1:9" s="8" customFormat="1" ht="15">
      <c r="A8" s="4" t="s">
        <v>14</v>
      </c>
      <c r="B8" s="22">
        <v>8.29</v>
      </c>
      <c r="C8" s="22">
        <f>B8*0.1</f>
        <v>0.829</v>
      </c>
      <c r="D8" s="22">
        <v>570</v>
      </c>
      <c r="E8" s="84">
        <f t="shared" si="1"/>
        <v>2.830974632843792</v>
      </c>
      <c r="F8" s="84">
        <f t="shared" si="4"/>
        <v>11.94997463284379</v>
      </c>
      <c r="G8" s="19">
        <f t="shared" si="2"/>
        <v>760.3768858878504</v>
      </c>
      <c r="H8" s="21">
        <f>724+36</f>
        <v>760</v>
      </c>
      <c r="I8" s="21">
        <f t="shared" si="3"/>
        <v>-0.37688588785044885</v>
      </c>
    </row>
    <row r="9" spans="1:9" s="8" customFormat="1" ht="15">
      <c r="A9" s="3" t="s">
        <v>115</v>
      </c>
      <c r="B9" s="22">
        <v>11.58</v>
      </c>
      <c r="C9" s="22">
        <f t="shared" si="0"/>
        <v>1.1580000000000001</v>
      </c>
      <c r="D9" s="22">
        <v>570</v>
      </c>
      <c r="E9" s="84">
        <f t="shared" si="1"/>
        <v>2.830974632843792</v>
      </c>
      <c r="F9" s="84">
        <f t="shared" si="4"/>
        <v>15.568974632843792</v>
      </c>
      <c r="G9" s="19">
        <f t="shared" si="2"/>
        <v>990.6538558878506</v>
      </c>
      <c r="H9" s="21">
        <f>937+60</f>
        <v>997</v>
      </c>
      <c r="I9" s="21">
        <f t="shared" si="3"/>
        <v>6.346144112149432</v>
      </c>
    </row>
    <row r="10" spans="1:9" s="8" customFormat="1" ht="15">
      <c r="A10" s="4" t="s">
        <v>629</v>
      </c>
      <c r="B10" s="22">
        <v>3.58</v>
      </c>
      <c r="C10" s="22">
        <f t="shared" si="0"/>
        <v>0.35800000000000004</v>
      </c>
      <c r="D10" s="22">
        <v>120</v>
      </c>
      <c r="E10" s="84">
        <f t="shared" si="1"/>
        <v>0.5959946595460615</v>
      </c>
      <c r="F10" s="84">
        <f t="shared" si="4"/>
        <v>4.533994659546061</v>
      </c>
      <c r="G10" s="19">
        <f t="shared" si="2"/>
        <v>288.4980801869159</v>
      </c>
      <c r="H10" s="21">
        <f>271+17</f>
        <v>288</v>
      </c>
      <c r="I10" s="21">
        <f t="shared" si="3"/>
        <v>-0.4980801869158995</v>
      </c>
    </row>
    <row r="11" spans="1:9" s="8" customFormat="1" ht="15">
      <c r="A11" s="4" t="s">
        <v>630</v>
      </c>
      <c r="B11" s="22">
        <v>70.75</v>
      </c>
      <c r="C11" s="22">
        <f t="shared" si="0"/>
        <v>7.075</v>
      </c>
      <c r="D11" s="22">
        <v>370</v>
      </c>
      <c r="E11" s="84">
        <f t="shared" si="1"/>
        <v>1.837650200267023</v>
      </c>
      <c r="F11" s="84">
        <f aca="true" t="shared" si="5" ref="F11:F16">B11+E11+C11</f>
        <v>79.66265020026702</v>
      </c>
      <c r="G11" s="19">
        <f aca="true" t="shared" si="6" ref="G11:G16">F11*$G$1</f>
        <v>5068.934432242991</v>
      </c>
      <c r="H11" s="21">
        <f>4622+447</f>
        <v>5069</v>
      </c>
      <c r="I11" s="21">
        <f aca="true" t="shared" si="7" ref="I11:I16">H11-G11</f>
        <v>0.06556775700937578</v>
      </c>
    </row>
    <row r="12" spans="1:9" s="8" customFormat="1" ht="15">
      <c r="A12" s="4" t="s">
        <v>631</v>
      </c>
      <c r="B12" s="22">
        <v>35.83</v>
      </c>
      <c r="C12" s="22">
        <f>B12*0.1</f>
        <v>3.583</v>
      </c>
      <c r="D12" s="22">
        <v>2550</v>
      </c>
      <c r="E12" s="84">
        <f>D12/$D$22*$E$22</f>
        <v>12.664886515353805</v>
      </c>
      <c r="F12" s="84">
        <f t="shared" si="5"/>
        <v>52.0778865153538</v>
      </c>
      <c r="G12" s="19">
        <f t="shared" si="6"/>
        <v>3313.7159189719628</v>
      </c>
      <c r="H12" s="21">
        <f>3155+159</f>
        <v>3314</v>
      </c>
      <c r="I12" s="21">
        <f t="shared" si="7"/>
        <v>0.28408102803723523</v>
      </c>
    </row>
    <row r="13" spans="1:9" s="8" customFormat="1" ht="15">
      <c r="A13" s="4" t="s">
        <v>632</v>
      </c>
      <c r="B13" s="22">
        <v>6.25</v>
      </c>
      <c r="C13" s="22">
        <f>B13*0.1</f>
        <v>0.625</v>
      </c>
      <c r="D13" s="22">
        <v>50</v>
      </c>
      <c r="E13" s="84">
        <f>D13/$D$22*$E$22</f>
        <v>0.2483311081441923</v>
      </c>
      <c r="F13" s="84">
        <f t="shared" si="5"/>
        <v>7.123331108144193</v>
      </c>
      <c r="G13" s="19">
        <f t="shared" si="6"/>
        <v>453.257558411215</v>
      </c>
      <c r="H13" s="21">
        <f>422+31</f>
        <v>453</v>
      </c>
      <c r="I13" s="21">
        <f t="shared" si="7"/>
        <v>-0.2575584112149727</v>
      </c>
    </row>
    <row r="14" spans="1:9" s="8" customFormat="1" ht="15">
      <c r="A14" s="122" t="s">
        <v>48</v>
      </c>
      <c r="B14" s="22">
        <v>19.66</v>
      </c>
      <c r="C14" s="22">
        <f>B14*0.1</f>
        <v>1.9660000000000002</v>
      </c>
      <c r="D14" s="22">
        <v>1090</v>
      </c>
      <c r="E14" s="84">
        <f t="shared" si="1"/>
        <v>5.413618157543391</v>
      </c>
      <c r="F14" s="84">
        <f t="shared" si="5"/>
        <v>27.039618157543394</v>
      </c>
      <c r="G14" s="19">
        <f t="shared" si="6"/>
        <v>1720.5309033644862</v>
      </c>
      <c r="H14" s="21">
        <f>1593+93</f>
        <v>1686</v>
      </c>
      <c r="I14" s="21">
        <f t="shared" si="7"/>
        <v>-34.53090336448622</v>
      </c>
    </row>
    <row r="15" spans="1:9" s="8" customFormat="1" ht="15">
      <c r="A15" s="3" t="s">
        <v>174</v>
      </c>
      <c r="B15" s="22">
        <v>33.25</v>
      </c>
      <c r="C15" s="22">
        <f>B15*0.1</f>
        <v>3.325</v>
      </c>
      <c r="D15" s="22">
        <v>2010</v>
      </c>
      <c r="E15" s="84">
        <f t="shared" si="1"/>
        <v>9.98291054739653</v>
      </c>
      <c r="F15" s="84">
        <f t="shared" si="5"/>
        <v>46.55791054739653</v>
      </c>
      <c r="G15" s="19">
        <f t="shared" si="6"/>
        <v>2962.479848130841</v>
      </c>
      <c r="H15" s="21">
        <f>2783+157</f>
        <v>2940</v>
      </c>
      <c r="I15" s="21">
        <f t="shared" si="7"/>
        <v>-22.47984813084122</v>
      </c>
    </row>
    <row r="16" spans="1:9" s="8" customFormat="1" ht="15">
      <c r="A16" s="4" t="s">
        <v>633</v>
      </c>
      <c r="B16" s="108">
        <v>26.58</v>
      </c>
      <c r="C16" s="22">
        <f>B16*0.1</f>
        <v>2.658</v>
      </c>
      <c r="D16" s="22">
        <v>250</v>
      </c>
      <c r="E16" s="84">
        <f t="shared" si="1"/>
        <v>1.2416555407209613</v>
      </c>
      <c r="F16" s="84">
        <f t="shared" si="5"/>
        <v>30.479655540720962</v>
      </c>
      <c r="G16" s="19">
        <f t="shared" si="6"/>
        <v>1939.420482056075</v>
      </c>
      <c r="H16" s="21">
        <f>1806+133</f>
        <v>1939</v>
      </c>
      <c r="I16" s="21">
        <f t="shared" si="7"/>
        <v>-0.42048205607488853</v>
      </c>
    </row>
    <row r="17" spans="1:9" s="8" customFormat="1" ht="15">
      <c r="A17" s="4" t="s">
        <v>634</v>
      </c>
      <c r="B17" s="108">
        <v>9.84</v>
      </c>
      <c r="C17" s="22">
        <f t="shared" si="0"/>
        <v>0.984</v>
      </c>
      <c r="D17" s="22">
        <v>220</v>
      </c>
      <c r="E17" s="84">
        <f t="shared" si="1"/>
        <v>1.092656875834446</v>
      </c>
      <c r="F17" s="84">
        <f t="shared" si="4"/>
        <v>11.916656875834446</v>
      </c>
      <c r="G17" s="19">
        <f t="shared" si="2"/>
        <v>758.2568770093459</v>
      </c>
      <c r="H17" s="21">
        <f>703+55</f>
        <v>758</v>
      </c>
      <c r="I17" s="21">
        <f t="shared" si="3"/>
        <v>-0.2568770093458852</v>
      </c>
    </row>
    <row r="18" spans="1:9" s="8" customFormat="1" ht="15">
      <c r="A18" s="4" t="s">
        <v>418</v>
      </c>
      <c r="B18" s="22">
        <v>53.84</v>
      </c>
      <c r="C18" s="22">
        <f>B18*0.1</f>
        <v>5.384</v>
      </c>
      <c r="D18" s="22">
        <v>1480</v>
      </c>
      <c r="E18" s="84">
        <f>D18/$D$22*$E$22</f>
        <v>7.350600801068092</v>
      </c>
      <c r="F18" s="84">
        <f>B18+E18+C18</f>
        <v>66.5746008010681</v>
      </c>
      <c r="G18" s="19">
        <f>F18*$G$1</f>
        <v>4236.141848971964</v>
      </c>
      <c r="H18" s="21">
        <v>4024</v>
      </c>
      <c r="I18" s="21">
        <f>H18-G18</f>
        <v>-212.14184897196355</v>
      </c>
    </row>
    <row r="19" spans="1:9" s="8" customFormat="1" ht="15">
      <c r="A19" s="4" t="s">
        <v>635</v>
      </c>
      <c r="B19" s="22">
        <v>8.29</v>
      </c>
      <c r="C19" s="22">
        <f>B19*0.1</f>
        <v>0.829</v>
      </c>
      <c r="D19" s="22">
        <v>570</v>
      </c>
      <c r="E19" s="84">
        <f>D19/$D$22*$E$22</f>
        <v>2.830974632843792</v>
      </c>
      <c r="F19" s="84">
        <f>B19+E19+C19</f>
        <v>11.94997463284379</v>
      </c>
      <c r="G19" s="19">
        <f>F19*$G$1</f>
        <v>760.3768858878504</v>
      </c>
      <c r="H19" s="21">
        <f>724+36</f>
        <v>760</v>
      </c>
      <c r="I19" s="21">
        <f>H19-G19</f>
        <v>-0.37688588785044885</v>
      </c>
    </row>
    <row r="20" spans="1:9" s="8" customFormat="1" ht="15">
      <c r="A20" s="4" t="s">
        <v>596</v>
      </c>
      <c r="B20" s="108">
        <v>19</v>
      </c>
      <c r="C20" s="22">
        <f>B20*0.1</f>
        <v>1.9000000000000001</v>
      </c>
      <c r="D20" s="22">
        <v>190</v>
      </c>
      <c r="E20" s="84">
        <f>D20/$D$22*$E$22</f>
        <v>0.9436582109479306</v>
      </c>
      <c r="F20" s="84">
        <f>B20+E20+C20</f>
        <v>21.84365821094793</v>
      </c>
      <c r="G20" s="19">
        <f>F20*$G$1</f>
        <v>1389.9119719626167</v>
      </c>
      <c r="H20" s="21">
        <f>1291+99</f>
        <v>1390</v>
      </c>
      <c r="I20" s="21">
        <f>H20-G20</f>
        <v>0.08802803738331022</v>
      </c>
    </row>
    <row r="21" spans="1:10" s="8" customFormat="1" ht="15">
      <c r="A21" s="4" t="s">
        <v>224</v>
      </c>
      <c r="B21" s="85"/>
      <c r="C21" s="85"/>
      <c r="D21" s="22">
        <v>2360</v>
      </c>
      <c r="E21" s="84">
        <f t="shared" si="1"/>
        <v>11.721228304405875</v>
      </c>
      <c r="F21" s="85"/>
      <c r="G21" s="28"/>
      <c r="H21" s="28"/>
      <c r="I21" s="28"/>
      <c r="J21" s="32"/>
    </row>
    <row r="22" spans="1:9" s="8" customFormat="1" ht="15">
      <c r="A22" s="25"/>
      <c r="B22" s="86">
        <f>SUM(B4:B21)</f>
        <v>338.69</v>
      </c>
      <c r="C22" s="86"/>
      <c r="D22" s="86">
        <f>SUM(D4:D21)</f>
        <v>14980</v>
      </c>
      <c r="E22" s="1">
        <v>74.4</v>
      </c>
      <c r="F22" s="113"/>
      <c r="G22" s="28"/>
      <c r="H22" s="28"/>
      <c r="I22" s="28"/>
    </row>
    <row r="23" spans="1:14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</row>
    <row r="24" spans="1:15" ht="28.5">
      <c r="A24" s="126" t="s">
        <v>486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26.25">
      <c r="A25" s="124" t="s">
        <v>174</v>
      </c>
      <c r="B25" s="127" t="s">
        <v>636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  <row r="26" spans="1:15" ht="24.75" customHeight="1">
      <c r="A26" s="124" t="s">
        <v>630</v>
      </c>
      <c r="B26" s="127" t="s">
        <v>637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</row>
    <row r="27" spans="2:15" ht="15">
      <c r="B27" s="127" t="s">
        <v>638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</row>
    <row r="28" spans="1:15" ht="1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</row>
    <row r="29" spans="1:15" ht="1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</row>
    <row r="30" spans="1:15" ht="1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42166</v>
      </c>
      <c r="C1" s="10"/>
      <c r="D1" s="10"/>
      <c r="E1" s="10"/>
      <c r="F1" s="11" t="s">
        <v>206</v>
      </c>
      <c r="G1" s="106">
        <v>62.58</v>
      </c>
      <c r="H1" s="8" t="s">
        <v>207</v>
      </c>
    </row>
    <row r="2" s="8" customFormat="1" ht="23.25" customHeight="1">
      <c r="A2" s="33" t="s">
        <v>643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4" t="s">
        <v>559</v>
      </c>
      <c r="B4" s="22">
        <v>21.58</v>
      </c>
      <c r="C4" s="22">
        <f>B4*0.1</f>
        <v>2.158</v>
      </c>
      <c r="D4" s="22">
        <v>40</v>
      </c>
      <c r="E4" s="84">
        <f aca="true" t="shared" si="0" ref="E4:E15">D4/$D$16*$E$16</f>
        <v>0.21070247933884298</v>
      </c>
      <c r="F4" s="84">
        <f>B4+E4+C4</f>
        <v>23.94870247933884</v>
      </c>
      <c r="G4" s="19">
        <f>F4*$G$1</f>
        <v>1498.7098011570247</v>
      </c>
      <c r="H4" s="21">
        <v>1528</v>
      </c>
      <c r="I4" s="21">
        <f>H4-G4</f>
        <v>29.290198842975315</v>
      </c>
    </row>
    <row r="5" spans="1:9" s="15" customFormat="1" ht="15">
      <c r="A5" s="4" t="s">
        <v>174</v>
      </c>
      <c r="B5" s="22">
        <v>6.67</v>
      </c>
      <c r="C5" s="22">
        <f>B5*0.1</f>
        <v>0.667</v>
      </c>
      <c r="D5" s="22">
        <v>250</v>
      </c>
      <c r="E5" s="84">
        <f t="shared" si="0"/>
        <v>1.3168904958677687</v>
      </c>
      <c r="F5" s="84">
        <f>B5+E5+C5</f>
        <v>8.653890495867769</v>
      </c>
      <c r="G5" s="19">
        <f>F5*$G$1</f>
        <v>541.5604672314049</v>
      </c>
      <c r="H5" s="21">
        <v>554</v>
      </c>
      <c r="I5" s="21">
        <f>H5-G5</f>
        <v>12.439532768595086</v>
      </c>
    </row>
    <row r="6" spans="1:9" s="8" customFormat="1" ht="15">
      <c r="A6" s="3" t="s">
        <v>644</v>
      </c>
      <c r="B6" s="22">
        <v>7.42</v>
      </c>
      <c r="C6" s="22">
        <f aca="true" t="shared" si="1" ref="C6:C11">B6*0.1</f>
        <v>0.742</v>
      </c>
      <c r="D6" s="22">
        <v>60</v>
      </c>
      <c r="E6" s="84">
        <f t="shared" si="0"/>
        <v>0.3160537190082645</v>
      </c>
      <c r="F6" s="84">
        <f>B6+E6+C6</f>
        <v>8.478053719008265</v>
      </c>
      <c r="G6" s="19">
        <f aca="true" t="shared" si="2" ref="G6:G14">F6*$G$1</f>
        <v>530.5566017355372</v>
      </c>
      <c r="H6" s="21">
        <v>540</v>
      </c>
      <c r="I6" s="21">
        <f aca="true" t="shared" si="3" ref="I6:I14">H6-G6</f>
        <v>9.443398264462758</v>
      </c>
    </row>
    <row r="7" spans="1:10" s="8" customFormat="1" ht="15">
      <c r="A7" s="4" t="s">
        <v>645</v>
      </c>
      <c r="B7" s="22">
        <v>15.27</v>
      </c>
      <c r="C7" s="22">
        <f t="shared" si="1"/>
        <v>1.5270000000000001</v>
      </c>
      <c r="D7" s="22">
        <v>540</v>
      </c>
      <c r="E7" s="84">
        <f t="shared" si="0"/>
        <v>2.8444834710743803</v>
      </c>
      <c r="F7" s="84">
        <f aca="true" t="shared" si="4" ref="F7:F14">B7+E7+C7</f>
        <v>19.64148347107438</v>
      </c>
      <c r="G7" s="19">
        <f t="shared" si="2"/>
        <v>1229.1640356198347</v>
      </c>
      <c r="H7" s="21">
        <f>1243-14</f>
        <v>1229</v>
      </c>
      <c r="I7" s="21">
        <f t="shared" si="3"/>
        <v>-0.164035619834749</v>
      </c>
      <c r="J7" s="8" t="s">
        <v>673</v>
      </c>
    </row>
    <row r="8" spans="1:9" s="8" customFormat="1" ht="15">
      <c r="A8" s="4" t="s">
        <v>127</v>
      </c>
      <c r="B8" s="22">
        <v>9.27</v>
      </c>
      <c r="C8" s="22">
        <f>B8*0.1</f>
        <v>0.927</v>
      </c>
      <c r="D8" s="22">
        <v>260</v>
      </c>
      <c r="E8" s="84">
        <f t="shared" si="0"/>
        <v>1.3695661157024794</v>
      </c>
      <c r="F8" s="84">
        <f t="shared" si="4"/>
        <v>11.566566115702479</v>
      </c>
      <c r="G8" s="19">
        <f t="shared" si="2"/>
        <v>723.8357075206611</v>
      </c>
      <c r="H8" s="21">
        <v>736</v>
      </c>
      <c r="I8" s="21">
        <f t="shared" si="3"/>
        <v>12.164292479338883</v>
      </c>
    </row>
    <row r="9" spans="1:9" s="8" customFormat="1" ht="15">
      <c r="A9" s="3" t="s">
        <v>418</v>
      </c>
      <c r="B9" s="22">
        <v>37.26</v>
      </c>
      <c r="C9" s="22">
        <f t="shared" si="1"/>
        <v>3.726</v>
      </c>
      <c r="D9" s="22">
        <v>330</v>
      </c>
      <c r="E9" s="84">
        <f t="shared" si="0"/>
        <v>1.7382954545454545</v>
      </c>
      <c r="F9" s="84">
        <f t="shared" si="4"/>
        <v>42.724295454545455</v>
      </c>
      <c r="G9" s="19">
        <f t="shared" si="2"/>
        <v>2673.6864095454544</v>
      </c>
      <c r="H9" s="21">
        <v>2996</v>
      </c>
      <c r="I9" s="21">
        <f t="shared" si="3"/>
        <v>322.31359045454565</v>
      </c>
    </row>
    <row r="10" spans="1:9" s="8" customFormat="1" ht="15">
      <c r="A10" s="4" t="s">
        <v>646</v>
      </c>
      <c r="B10" s="22">
        <v>4.92</v>
      </c>
      <c r="C10" s="22">
        <f t="shared" si="1"/>
        <v>0.492</v>
      </c>
      <c r="D10" s="22">
        <v>130</v>
      </c>
      <c r="E10" s="84">
        <f t="shared" si="0"/>
        <v>0.6847830578512397</v>
      </c>
      <c r="F10" s="84">
        <f t="shared" si="4"/>
        <v>6.09678305785124</v>
      </c>
      <c r="G10" s="19">
        <f t="shared" si="2"/>
        <v>381.53668376033056</v>
      </c>
      <c r="H10" s="21">
        <v>390</v>
      </c>
      <c r="I10" s="21">
        <f t="shared" si="3"/>
        <v>8.463316239669439</v>
      </c>
    </row>
    <row r="11" spans="1:9" s="8" customFormat="1" ht="15">
      <c r="A11" s="4" t="s">
        <v>102</v>
      </c>
      <c r="B11" s="22">
        <v>5.63</v>
      </c>
      <c r="C11" s="22">
        <f t="shared" si="1"/>
        <v>0.5630000000000001</v>
      </c>
      <c r="D11" s="22">
        <v>80</v>
      </c>
      <c r="E11" s="84">
        <f t="shared" si="0"/>
        <v>0.42140495867768596</v>
      </c>
      <c r="F11" s="84">
        <f t="shared" si="4"/>
        <v>6.614404958677685</v>
      </c>
      <c r="G11" s="19">
        <f t="shared" si="2"/>
        <v>413.92946231404954</v>
      </c>
      <c r="H11" s="21">
        <v>104</v>
      </c>
      <c r="I11" s="21">
        <f t="shared" si="3"/>
        <v>-309.92946231404954</v>
      </c>
    </row>
    <row r="12" spans="1:9" s="8" customFormat="1" ht="15">
      <c r="A12" s="4" t="s">
        <v>619</v>
      </c>
      <c r="B12" s="22">
        <v>16.8</v>
      </c>
      <c r="C12" s="22">
        <f>B12*0.1</f>
        <v>1.6800000000000002</v>
      </c>
      <c r="D12" s="22">
        <v>730</v>
      </c>
      <c r="E12" s="84">
        <f t="shared" si="0"/>
        <v>3.845320247933884</v>
      </c>
      <c r="F12" s="84">
        <f t="shared" si="4"/>
        <v>22.325320247933885</v>
      </c>
      <c r="G12" s="19">
        <f t="shared" si="2"/>
        <v>1397.1185411157026</v>
      </c>
      <c r="H12" s="21">
        <f>1300+112</f>
        <v>1412</v>
      </c>
      <c r="I12" s="21">
        <f t="shared" si="3"/>
        <v>14.881458884297444</v>
      </c>
    </row>
    <row r="13" spans="1:10" s="8" customFormat="1" ht="15">
      <c r="A13" s="4" t="s">
        <v>647</v>
      </c>
      <c r="B13" s="22">
        <v>31.09</v>
      </c>
      <c r="C13" s="22">
        <f>B13*0.1</f>
        <v>3.109</v>
      </c>
      <c r="D13" s="22">
        <v>350</v>
      </c>
      <c r="E13" s="84">
        <f t="shared" si="0"/>
        <v>1.843646694214876</v>
      </c>
      <c r="F13" s="84">
        <f t="shared" si="4"/>
        <v>36.04264669421488</v>
      </c>
      <c r="G13" s="19">
        <f t="shared" si="2"/>
        <v>2255.548830123967</v>
      </c>
      <c r="H13" s="21">
        <f>2000+298-42</f>
        <v>2256</v>
      </c>
      <c r="I13" s="21">
        <f t="shared" si="3"/>
        <v>0.45116987603296366</v>
      </c>
      <c r="J13" s="8" t="s">
        <v>664</v>
      </c>
    </row>
    <row r="14" spans="1:9" s="8" customFormat="1" ht="15">
      <c r="A14" s="122" t="s">
        <v>630</v>
      </c>
      <c r="B14" s="22">
        <v>30.53</v>
      </c>
      <c r="C14" s="22">
        <f>B14*0.1</f>
        <v>3.0530000000000004</v>
      </c>
      <c r="D14" s="22">
        <v>770</v>
      </c>
      <c r="E14" s="84">
        <f t="shared" si="0"/>
        <v>4.056022727272727</v>
      </c>
      <c r="F14" s="84">
        <f t="shared" si="4"/>
        <v>37.639022727272724</v>
      </c>
      <c r="G14" s="19">
        <f t="shared" si="2"/>
        <v>2355.450042272727</v>
      </c>
      <c r="H14" s="21">
        <v>2325</v>
      </c>
      <c r="I14" s="21">
        <f t="shared" si="3"/>
        <v>-30.450042272726932</v>
      </c>
    </row>
    <row r="15" spans="1:10" s="8" customFormat="1" ht="15">
      <c r="A15" s="4" t="s">
        <v>224</v>
      </c>
      <c r="B15" s="85"/>
      <c r="C15" s="85"/>
      <c r="D15" s="22">
        <v>6140</v>
      </c>
      <c r="E15" s="84">
        <f t="shared" si="0"/>
        <v>32.3428305785124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186.44</v>
      </c>
      <c r="C16" s="86"/>
      <c r="D16" s="86">
        <f>SUM(D4:D15)</f>
        <v>9680</v>
      </c>
      <c r="E16" s="1">
        <v>50.99</v>
      </c>
      <c r="F16" s="113"/>
      <c r="G16" s="28"/>
      <c r="H16" s="28"/>
      <c r="I16" s="28"/>
    </row>
    <row r="17" spans="1:14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5" ht="28.5">
      <c r="A18" s="126" t="s">
        <v>486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31.5" customHeight="1">
      <c r="A19" s="128" t="s">
        <v>174</v>
      </c>
      <c r="B19" s="100" t="s">
        <v>636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205</v>
      </c>
      <c r="B1" s="10">
        <v>41252</v>
      </c>
      <c r="C1" s="10"/>
      <c r="D1" s="11" t="s">
        <v>206</v>
      </c>
      <c r="E1" s="12">
        <v>40.69</v>
      </c>
      <c r="F1" s="8" t="s">
        <v>207</v>
      </c>
    </row>
    <row r="2" s="8" customFormat="1" ht="23.25" customHeight="1">
      <c r="A2" s="33" t="s">
        <v>232</v>
      </c>
    </row>
    <row r="3" spans="1:9" s="15" customFormat="1" ht="45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224</v>
      </c>
      <c r="B4" s="16">
        <v>57.3</v>
      </c>
      <c r="C4" s="16">
        <f aca="true" t="shared" si="0" ref="C4:C9">B4*0.95</f>
        <v>54.434999999999995</v>
      </c>
      <c r="D4" s="16">
        <f aca="true" t="shared" si="1" ref="D4:D9">B4/$B$10*$D$10</f>
        <v>5.132055821703812</v>
      </c>
      <c r="E4" s="40"/>
      <c r="F4" s="28"/>
      <c r="G4" s="41"/>
      <c r="H4" s="42"/>
      <c r="I4" s="43"/>
    </row>
    <row r="5" spans="1:9" s="8" customFormat="1" ht="15">
      <c r="A5" s="4" t="s">
        <v>163</v>
      </c>
      <c r="B5" s="16">
        <v>19.5</v>
      </c>
      <c r="C5" s="16">
        <f t="shared" si="0"/>
        <v>18.525</v>
      </c>
      <c r="D5" s="16">
        <f t="shared" si="1"/>
        <v>1.7465111435117684</v>
      </c>
      <c r="E5" s="17">
        <f>(C5+D5)*$E$1</f>
        <v>824.8477884294937</v>
      </c>
      <c r="F5" s="18"/>
      <c r="G5" s="19">
        <f>E5-F5</f>
        <v>824.8477884294937</v>
      </c>
      <c r="H5" s="22">
        <f>822+3</f>
        <v>825</v>
      </c>
      <c r="I5" s="21">
        <f>H5-G5+F5</f>
        <v>0.15221157050632428</v>
      </c>
    </row>
    <row r="6" spans="1:9" s="8" customFormat="1" ht="15">
      <c r="A6" s="4" t="s">
        <v>181</v>
      </c>
      <c r="B6" s="16">
        <v>26.4</v>
      </c>
      <c r="C6" s="16">
        <f t="shared" si="0"/>
        <v>25.08</v>
      </c>
      <c r="D6" s="16">
        <f t="shared" si="1"/>
        <v>2.3645073942928554</v>
      </c>
      <c r="E6" s="17">
        <f>(C6+D6)*$E$1</f>
        <v>1116.717005873776</v>
      </c>
      <c r="F6" s="18"/>
      <c r="G6" s="19">
        <f>E6-F6</f>
        <v>1116.717005873776</v>
      </c>
      <c r="H6" s="22">
        <f>1112+5</f>
        <v>1117</v>
      </c>
      <c r="I6" s="21">
        <f>H6-G6+F6</f>
        <v>0.28299412622391173</v>
      </c>
    </row>
    <row r="7" spans="1:9" s="8" customFormat="1" ht="15">
      <c r="A7" s="4" t="s">
        <v>56</v>
      </c>
      <c r="B7" s="16">
        <v>89.65</v>
      </c>
      <c r="C7" s="16">
        <f t="shared" si="0"/>
        <v>85.1675</v>
      </c>
      <c r="D7" s="16">
        <f t="shared" si="1"/>
        <v>8.029473026452823</v>
      </c>
      <c r="E7" s="17">
        <f>(C7+D7)*$E$1</f>
        <v>3792.1848324463654</v>
      </c>
      <c r="F7" s="18"/>
      <c r="G7" s="19">
        <f>E7-F7</f>
        <v>3792.1848324463654</v>
      </c>
      <c r="H7" s="22">
        <f>3777+15</f>
        <v>3792</v>
      </c>
      <c r="I7" s="21">
        <f>H7-G7+F7</f>
        <v>-0.18483244636536256</v>
      </c>
    </row>
    <row r="8" spans="1:10" s="8" customFormat="1" ht="15">
      <c r="A8" s="4" t="s">
        <v>82</v>
      </c>
      <c r="B8" s="16">
        <v>7.7</v>
      </c>
      <c r="C8" s="16">
        <f t="shared" si="0"/>
        <v>7.3149999999999995</v>
      </c>
      <c r="D8" s="16">
        <f t="shared" si="1"/>
        <v>0.6896479900020829</v>
      </c>
      <c r="E8" s="17">
        <f>(C8+D8)*$E$1</f>
        <v>325.70912671318473</v>
      </c>
      <c r="F8" s="18"/>
      <c r="G8" s="19">
        <f>E8-F8</f>
        <v>325.70912671318473</v>
      </c>
      <c r="H8" s="22">
        <v>324</v>
      </c>
      <c r="I8" s="21">
        <f>H8-G8</f>
        <v>-1.7091267131847303</v>
      </c>
      <c r="J8" s="33"/>
    </row>
    <row r="9" spans="1:10" s="8" customFormat="1" ht="15">
      <c r="A9" s="4" t="s">
        <v>217</v>
      </c>
      <c r="B9" s="16">
        <v>14.8</v>
      </c>
      <c r="C9" s="16">
        <f t="shared" si="0"/>
        <v>14.06</v>
      </c>
      <c r="D9" s="16">
        <f t="shared" si="1"/>
        <v>1.325557175588419</v>
      </c>
      <c r="E9" s="17">
        <f>(C9+D9)*$E$1</f>
        <v>626.0383214746927</v>
      </c>
      <c r="F9" s="18"/>
      <c r="G9" s="19">
        <f>E9-F9</f>
        <v>626.0383214746927</v>
      </c>
      <c r="H9" s="22">
        <v>624</v>
      </c>
      <c r="I9" s="21">
        <f>H9-G9</f>
        <v>-2.0383214746926797</v>
      </c>
      <c r="J9" s="33"/>
    </row>
    <row r="10" spans="1:9" s="8" customFormat="1" ht="15">
      <c r="A10" s="25"/>
      <c r="B10" s="26">
        <v>240.05</v>
      </c>
      <c r="C10" s="26">
        <f>SUM(C4:C9)</f>
        <v>204.58249999999998</v>
      </c>
      <c r="D10" s="26">
        <v>21.5</v>
      </c>
      <c r="E10" s="27"/>
      <c r="F10" s="28"/>
      <c r="G10" s="28"/>
      <c r="H10" s="28"/>
      <c r="I10" s="28"/>
    </row>
    <row r="13" ht="23.25">
      <c r="A13" s="30"/>
    </row>
    <row r="14" ht="1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42173</v>
      </c>
      <c r="C1" s="10"/>
      <c r="D1" s="10"/>
      <c r="E1" s="10"/>
      <c r="F1" s="11" t="s">
        <v>206</v>
      </c>
      <c r="G1" s="106">
        <v>62.83</v>
      </c>
      <c r="H1" s="8" t="s">
        <v>207</v>
      </c>
    </row>
    <row r="2" s="8" customFormat="1" ht="23.25" customHeight="1">
      <c r="A2" s="33" t="s">
        <v>650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4" t="s">
        <v>174</v>
      </c>
      <c r="B4" s="22">
        <v>9.08</v>
      </c>
      <c r="C4" s="22">
        <f aca="true" t="shared" si="0" ref="C4:C10">B4*0.1</f>
        <v>0.908</v>
      </c>
      <c r="D4" s="22">
        <v>150</v>
      </c>
      <c r="E4" s="84">
        <f>D4/$D$12*$E$12</f>
        <v>0.7607913669064749</v>
      </c>
      <c r="F4" s="84">
        <f aca="true" t="shared" si="1" ref="F4:F10">B4+E4+C4</f>
        <v>10.748791366906474</v>
      </c>
      <c r="G4" s="19">
        <f aca="true" t="shared" si="2" ref="G4:G10">F4*$G$1</f>
        <v>675.3465615827338</v>
      </c>
      <c r="H4" s="21">
        <v>658</v>
      </c>
      <c r="I4" s="21">
        <f aca="true" t="shared" si="3" ref="I4:I10">H4-G4</f>
        <v>-17.346561582733784</v>
      </c>
    </row>
    <row r="5" spans="1:9" s="15" customFormat="1" ht="15">
      <c r="A5" s="4" t="s">
        <v>41</v>
      </c>
      <c r="B5" s="22">
        <v>10.88</v>
      </c>
      <c r="C5" s="22">
        <f t="shared" si="0"/>
        <v>1.088</v>
      </c>
      <c r="D5" s="22">
        <v>460</v>
      </c>
      <c r="E5" s="84">
        <f aca="true" t="shared" si="4" ref="E5:E11">D5/$D$12*$E$12</f>
        <v>2.333093525179856</v>
      </c>
      <c r="F5" s="84">
        <f t="shared" si="1"/>
        <v>14.301093525179859</v>
      </c>
      <c r="G5" s="19">
        <f t="shared" si="2"/>
        <v>898.5377061870505</v>
      </c>
      <c r="H5" s="21">
        <f>896+2</f>
        <v>898</v>
      </c>
      <c r="I5" s="21">
        <f t="shared" si="3"/>
        <v>-0.5377061870505031</v>
      </c>
    </row>
    <row r="6" spans="1:9" s="8" customFormat="1" ht="15">
      <c r="A6" s="3" t="s">
        <v>651</v>
      </c>
      <c r="B6" s="22">
        <v>9.58</v>
      </c>
      <c r="C6" s="22">
        <f t="shared" si="0"/>
        <v>0.9580000000000001</v>
      </c>
      <c r="D6" s="22">
        <v>160</v>
      </c>
      <c r="E6" s="84">
        <f t="shared" si="4"/>
        <v>0.8115107913669065</v>
      </c>
      <c r="F6" s="84">
        <f t="shared" si="1"/>
        <v>11.349510791366907</v>
      </c>
      <c r="G6" s="19">
        <f t="shared" si="2"/>
        <v>713.0897630215827</v>
      </c>
      <c r="H6" s="21">
        <v>709</v>
      </c>
      <c r="I6" s="21">
        <f t="shared" si="3"/>
        <v>-4.089763021582712</v>
      </c>
    </row>
    <row r="7" spans="1:9" s="8" customFormat="1" ht="15">
      <c r="A7" s="4" t="s">
        <v>587</v>
      </c>
      <c r="B7" s="22">
        <v>52.1</v>
      </c>
      <c r="C7" s="22">
        <f t="shared" si="0"/>
        <v>5.210000000000001</v>
      </c>
      <c r="D7" s="22">
        <v>580</v>
      </c>
      <c r="E7" s="84">
        <f t="shared" si="4"/>
        <v>2.941726618705036</v>
      </c>
      <c r="F7" s="84">
        <f t="shared" si="1"/>
        <v>60.251726618705035</v>
      </c>
      <c r="G7" s="19">
        <f t="shared" si="2"/>
        <v>3785.6159834532373</v>
      </c>
      <c r="H7" s="21">
        <f>3746+67</f>
        <v>3813</v>
      </c>
      <c r="I7" s="21">
        <f t="shared" si="3"/>
        <v>27.384016546762723</v>
      </c>
    </row>
    <row r="8" spans="1:9" s="8" customFormat="1" ht="15">
      <c r="A8" s="4" t="s">
        <v>652</v>
      </c>
      <c r="B8" s="22">
        <v>15.34</v>
      </c>
      <c r="C8" s="22">
        <f t="shared" si="0"/>
        <v>1.534</v>
      </c>
      <c r="D8" s="22">
        <v>1100</v>
      </c>
      <c r="E8" s="84">
        <f t="shared" si="4"/>
        <v>5.5791366906474815</v>
      </c>
      <c r="F8" s="84">
        <f t="shared" si="1"/>
        <v>22.45313669064748</v>
      </c>
      <c r="G8" s="19">
        <f t="shared" si="2"/>
        <v>1410.730578273381</v>
      </c>
      <c r="H8" s="21">
        <v>1411</v>
      </c>
      <c r="I8" s="21">
        <f t="shared" si="3"/>
        <v>0.2694217266189298</v>
      </c>
    </row>
    <row r="9" spans="1:10" s="8" customFormat="1" ht="15">
      <c r="A9" s="3" t="s">
        <v>51</v>
      </c>
      <c r="B9" s="22">
        <v>7.42</v>
      </c>
      <c r="C9" s="22">
        <f t="shared" si="0"/>
        <v>0.742</v>
      </c>
      <c r="D9" s="22">
        <v>360</v>
      </c>
      <c r="E9" s="84">
        <f t="shared" si="4"/>
        <v>1.8258992805755394</v>
      </c>
      <c r="F9" s="84">
        <f t="shared" si="1"/>
        <v>9.98789928057554</v>
      </c>
      <c r="G9" s="19">
        <f t="shared" si="2"/>
        <v>627.5397117985611</v>
      </c>
      <c r="H9" s="21">
        <f>650-22</f>
        <v>628</v>
      </c>
      <c r="I9" s="21">
        <f t="shared" si="3"/>
        <v>0.46028820143885696</v>
      </c>
      <c r="J9" s="131" t="s">
        <v>679</v>
      </c>
    </row>
    <row r="10" spans="1:9" s="8" customFormat="1" ht="15">
      <c r="A10" s="4" t="s">
        <v>118</v>
      </c>
      <c r="B10" s="22">
        <v>43.58</v>
      </c>
      <c r="C10" s="22">
        <f t="shared" si="0"/>
        <v>4.358</v>
      </c>
      <c r="D10" s="22">
        <v>950</v>
      </c>
      <c r="E10" s="84">
        <f t="shared" si="4"/>
        <v>4.818345323741007</v>
      </c>
      <c r="F10" s="84">
        <f t="shared" si="1"/>
        <v>52.756345323741</v>
      </c>
      <c r="G10" s="19">
        <f t="shared" si="2"/>
        <v>3314.681176690647</v>
      </c>
      <c r="H10" s="21">
        <f>3181+133</f>
        <v>3314</v>
      </c>
      <c r="I10" s="21">
        <f t="shared" si="3"/>
        <v>-0.6811766906471348</v>
      </c>
    </row>
    <row r="11" spans="1:10" s="8" customFormat="1" ht="15">
      <c r="A11" s="4" t="s">
        <v>224</v>
      </c>
      <c r="B11" s="85"/>
      <c r="C11" s="85"/>
      <c r="D11" s="22">
        <v>10140</v>
      </c>
      <c r="E11" s="84">
        <f t="shared" si="4"/>
        <v>51.429496402877696</v>
      </c>
      <c r="F11" s="85"/>
      <c r="G11" s="28"/>
      <c r="H11" s="28"/>
      <c r="I11" s="28"/>
      <c r="J11" s="32"/>
    </row>
    <row r="12" spans="1:9" s="8" customFormat="1" ht="15">
      <c r="A12" s="25"/>
      <c r="B12" s="86">
        <f>SUM(B4:B11)</f>
        <v>147.98000000000002</v>
      </c>
      <c r="C12" s="86"/>
      <c r="D12" s="86">
        <f>SUM(D4:D11)</f>
        <v>13900</v>
      </c>
      <c r="E12" s="1">
        <v>70.5</v>
      </c>
      <c r="F12" s="113"/>
      <c r="G12" s="28"/>
      <c r="H12" s="28"/>
      <c r="I12" s="28"/>
    </row>
    <row r="13" spans="1:14" ht="1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</row>
    <row r="14" spans="1:15" ht="28.5">
      <c r="A14" s="126" t="s">
        <v>486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</row>
    <row r="15" spans="1:15" ht="31.5" customHeight="1">
      <c r="A15" s="128" t="s">
        <v>587</v>
      </c>
      <c r="B15" s="110" t="s">
        <v>653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</row>
    <row r="16" spans="1:15" ht="24.7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</row>
    <row r="17" spans="1:15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42181</v>
      </c>
      <c r="C1" s="10"/>
      <c r="D1" s="10"/>
      <c r="E1" s="10"/>
      <c r="F1" s="11" t="s">
        <v>206</v>
      </c>
      <c r="G1" s="106">
        <v>64.56</v>
      </c>
      <c r="H1" s="8" t="s">
        <v>207</v>
      </c>
    </row>
    <row r="2" s="8" customFormat="1" ht="23.25" customHeight="1">
      <c r="A2" s="33" t="s">
        <v>656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651</v>
      </c>
      <c r="B4" s="22">
        <v>12.92</v>
      </c>
      <c r="C4" s="22">
        <f aca="true" t="shared" si="0" ref="C4:C14">B4*0.1</f>
        <v>1.292</v>
      </c>
      <c r="D4" s="22">
        <v>140</v>
      </c>
      <c r="E4" s="84">
        <f aca="true" t="shared" si="1" ref="E4:E15">D4/$D$16*$E$16</f>
        <v>0.727840909090909</v>
      </c>
      <c r="F4" s="84">
        <f>B4+E4+C4</f>
        <v>14.93984090909091</v>
      </c>
      <c r="G4" s="19">
        <f>F4*$G$1</f>
        <v>964.5161290909092</v>
      </c>
      <c r="H4" s="21">
        <f>912+57+4</f>
        <v>973</v>
      </c>
      <c r="I4" s="21">
        <f aca="true" t="shared" si="2" ref="I4:I14">H4-G4</f>
        <v>8.483870909090797</v>
      </c>
    </row>
    <row r="5" spans="1:9" s="15" customFormat="1" ht="15">
      <c r="A5" s="103" t="s">
        <v>657</v>
      </c>
      <c r="B5" s="22">
        <v>8.29</v>
      </c>
      <c r="C5" s="22">
        <f t="shared" si="0"/>
        <v>0.829</v>
      </c>
      <c r="D5" s="22">
        <v>570</v>
      </c>
      <c r="E5" s="84">
        <f t="shared" si="1"/>
        <v>2.9633522727272728</v>
      </c>
      <c r="F5" s="84">
        <f aca="true" t="shared" si="3" ref="F5:F14">B5+E5+C5</f>
        <v>12.082352272727272</v>
      </c>
      <c r="G5" s="19">
        <f aca="true" t="shared" si="4" ref="G5:G14">F5*$G$1</f>
        <v>780.0366627272728</v>
      </c>
      <c r="H5" s="21">
        <v>800</v>
      </c>
      <c r="I5" s="21">
        <f t="shared" si="2"/>
        <v>19.963337272727244</v>
      </c>
    </row>
    <row r="6" spans="1:9" s="8" customFormat="1" ht="15">
      <c r="A6" s="104" t="s">
        <v>418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0.727840909090909</v>
      </c>
      <c r="F6" s="84">
        <f t="shared" si="3"/>
        <v>11.63984090909091</v>
      </c>
      <c r="G6" s="19">
        <f t="shared" si="4"/>
        <v>751.4681290909092</v>
      </c>
      <c r="H6" s="21">
        <v>667</v>
      </c>
      <c r="I6" s="21">
        <f t="shared" si="2"/>
        <v>-84.4681290909092</v>
      </c>
    </row>
    <row r="7" spans="1:9" s="8" customFormat="1" ht="15">
      <c r="A7" s="103">
        <v>51150</v>
      </c>
      <c r="B7" s="22">
        <v>10.75</v>
      </c>
      <c r="C7" s="22">
        <f t="shared" si="0"/>
        <v>1.075</v>
      </c>
      <c r="D7" s="22">
        <v>800</v>
      </c>
      <c r="E7" s="84">
        <f t="shared" si="1"/>
        <v>4.159090909090909</v>
      </c>
      <c r="F7" s="84">
        <f t="shared" si="3"/>
        <v>15.98409090909091</v>
      </c>
      <c r="G7" s="19">
        <f t="shared" si="4"/>
        <v>1031.932909090909</v>
      </c>
      <c r="H7" s="21">
        <f>1014+18</f>
        <v>1032</v>
      </c>
      <c r="I7" s="21">
        <f t="shared" si="2"/>
        <v>0.06709090909089355</v>
      </c>
    </row>
    <row r="8" spans="1:10" s="8" customFormat="1" ht="15">
      <c r="A8" s="103" t="s">
        <v>658</v>
      </c>
      <c r="B8" s="22">
        <v>10.42</v>
      </c>
      <c r="C8" s="22">
        <f t="shared" si="0"/>
        <v>1.042</v>
      </c>
      <c r="D8" s="22">
        <v>360</v>
      </c>
      <c r="E8" s="84">
        <f t="shared" si="1"/>
        <v>1.8715909090909089</v>
      </c>
      <c r="F8" s="84">
        <f t="shared" si="3"/>
        <v>13.333590909090908</v>
      </c>
      <c r="G8" s="19">
        <f t="shared" si="4"/>
        <v>860.816629090909</v>
      </c>
      <c r="H8" s="21">
        <f>817+69</f>
        <v>886</v>
      </c>
      <c r="I8" s="21">
        <f t="shared" si="2"/>
        <v>25.183370909090968</v>
      </c>
      <c r="J8" s="131" t="s">
        <v>663</v>
      </c>
    </row>
    <row r="9" spans="1:9" s="15" customFormat="1" ht="15">
      <c r="A9" s="103" t="s">
        <v>659</v>
      </c>
      <c r="B9" s="22">
        <v>9.08</v>
      </c>
      <c r="C9" s="22">
        <f>B9*0.1</f>
        <v>0.908</v>
      </c>
      <c r="D9" s="22">
        <v>70</v>
      </c>
      <c r="E9" s="84">
        <f t="shared" si="1"/>
        <v>0.3639204545454545</v>
      </c>
      <c r="F9" s="84">
        <f>B9+E9+C9</f>
        <v>10.351920454545454</v>
      </c>
      <c r="G9" s="19">
        <f>F9*$G$1</f>
        <v>668.3199845454545</v>
      </c>
      <c r="H9" s="21">
        <f>650+18</f>
        <v>668</v>
      </c>
      <c r="I9" s="21">
        <f>H9-G9</f>
        <v>-0.31998454545453114</v>
      </c>
    </row>
    <row r="10" spans="1:9" s="15" customFormat="1" ht="15">
      <c r="A10" s="103" t="s">
        <v>517</v>
      </c>
      <c r="B10" s="22">
        <v>11.58</v>
      </c>
      <c r="C10" s="22">
        <f>B10*0.1</f>
        <v>1.1580000000000001</v>
      </c>
      <c r="D10" s="22">
        <v>180</v>
      </c>
      <c r="E10" s="84">
        <f t="shared" si="1"/>
        <v>0.9357954545454544</v>
      </c>
      <c r="F10" s="84">
        <f>B10+E10+C10</f>
        <v>13.673795454545454</v>
      </c>
      <c r="G10" s="19">
        <f>F10*$G$1</f>
        <v>882.7802345454545</v>
      </c>
      <c r="H10" s="21">
        <f>847+38</f>
        <v>885</v>
      </c>
      <c r="I10" s="21">
        <f>H10-G10</f>
        <v>2.2197654545454952</v>
      </c>
    </row>
    <row r="11" spans="1:9" s="8" customFormat="1" ht="15">
      <c r="A11" s="104" t="s">
        <v>115</v>
      </c>
      <c r="B11" s="22">
        <v>6.25</v>
      </c>
      <c r="C11" s="22">
        <f>B11*0.1</f>
        <v>0.625</v>
      </c>
      <c r="D11" s="22">
        <v>450</v>
      </c>
      <c r="E11" s="84">
        <f t="shared" si="1"/>
        <v>2.3394886363636362</v>
      </c>
      <c r="F11" s="84">
        <f>B11+E11+C11</f>
        <v>9.214488636363637</v>
      </c>
      <c r="G11" s="19">
        <f>F11*$G$1</f>
        <v>594.8873863636364</v>
      </c>
      <c r="H11" s="21">
        <v>584</v>
      </c>
      <c r="I11" s="21">
        <f>H11-G11</f>
        <v>-10.887386363636438</v>
      </c>
    </row>
    <row r="12" spans="1:9" s="8" customFormat="1" ht="15">
      <c r="A12" s="103" t="s">
        <v>525</v>
      </c>
      <c r="B12" s="22">
        <v>29.74</v>
      </c>
      <c r="C12" s="22">
        <f>B12*0.1</f>
        <v>2.974</v>
      </c>
      <c r="D12" s="22">
        <v>1360</v>
      </c>
      <c r="E12" s="84">
        <f t="shared" si="1"/>
        <v>7.070454545454545</v>
      </c>
      <c r="F12" s="84">
        <f>B12+E12+C12</f>
        <v>39.78445454545455</v>
      </c>
      <c r="G12" s="19">
        <f>F12*$G$1</f>
        <v>2568.484385454546</v>
      </c>
      <c r="H12" s="21">
        <f>2500+66</f>
        <v>2566</v>
      </c>
      <c r="I12" s="21">
        <f>H12-G12</f>
        <v>-2.4843854545461</v>
      </c>
    </row>
    <row r="13" spans="1:9" s="8" customFormat="1" ht="15">
      <c r="A13" s="103" t="s">
        <v>193</v>
      </c>
      <c r="B13" s="22">
        <v>6.83</v>
      </c>
      <c r="C13" s="22">
        <f>B13*0.1</f>
        <v>0.683</v>
      </c>
      <c r="D13" s="22">
        <v>310</v>
      </c>
      <c r="E13" s="84">
        <f t="shared" si="1"/>
        <v>1.6116477272727274</v>
      </c>
      <c r="F13" s="84">
        <f>B13+E13+C13</f>
        <v>9.124647727272727</v>
      </c>
      <c r="G13" s="19">
        <f>F13*$G$1</f>
        <v>589.0872572727272</v>
      </c>
      <c r="H13" s="21">
        <v>577</v>
      </c>
      <c r="I13" s="21">
        <f>H13-G13</f>
        <v>-12.087257272727243</v>
      </c>
    </row>
    <row r="14" spans="1:9" s="8" customFormat="1" ht="15">
      <c r="A14" s="104" t="s">
        <v>127</v>
      </c>
      <c r="B14" s="22">
        <v>30.99</v>
      </c>
      <c r="C14" s="22">
        <f t="shared" si="0"/>
        <v>3.099</v>
      </c>
      <c r="D14" s="22">
        <v>920</v>
      </c>
      <c r="E14" s="84">
        <f t="shared" si="1"/>
        <v>4.782954545454546</v>
      </c>
      <c r="F14" s="84">
        <f t="shared" si="3"/>
        <v>38.87195454545454</v>
      </c>
      <c r="G14" s="19">
        <f t="shared" si="4"/>
        <v>2509.573385454545</v>
      </c>
      <c r="H14" s="132">
        <f>2417+132</f>
        <v>2549</v>
      </c>
      <c r="I14" s="21">
        <f t="shared" si="2"/>
        <v>39.42661454545487</v>
      </c>
    </row>
    <row r="15" spans="1:10" s="8" customFormat="1" ht="15">
      <c r="A15" s="4" t="s">
        <v>224</v>
      </c>
      <c r="B15" s="85"/>
      <c r="C15" s="85"/>
      <c r="D15" s="22">
        <v>5260</v>
      </c>
      <c r="E15" s="84">
        <f t="shared" si="1"/>
        <v>27.346022727272725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146.77</v>
      </c>
      <c r="C16" s="86"/>
      <c r="D16" s="86">
        <f>SUM(D4:D15)</f>
        <v>10560</v>
      </c>
      <c r="E16" s="1">
        <v>54.9</v>
      </c>
      <c r="F16" s="113"/>
      <c r="G16" s="28"/>
      <c r="H16" s="28"/>
      <c r="I16" s="28"/>
    </row>
    <row r="17" spans="1:14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655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8" t="s">
        <v>525</v>
      </c>
      <c r="B19" s="110" t="s">
        <v>660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42188</v>
      </c>
      <c r="C1" s="10"/>
      <c r="D1" s="10"/>
      <c r="E1" s="10"/>
      <c r="F1" s="11" t="s">
        <v>206</v>
      </c>
      <c r="G1" s="106">
        <v>65.09</v>
      </c>
      <c r="H1" s="8" t="s">
        <v>207</v>
      </c>
    </row>
    <row r="2" s="8" customFormat="1" ht="23.25" customHeight="1">
      <c r="A2" s="33"/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665</v>
      </c>
      <c r="B4" s="22">
        <v>62.76</v>
      </c>
      <c r="C4" s="22">
        <f aca="true" t="shared" si="0" ref="C4:C14">B4*0.1</f>
        <v>6.276</v>
      </c>
      <c r="D4" s="22">
        <v>4300</v>
      </c>
      <c r="E4" s="84">
        <f aca="true" t="shared" si="1" ref="E4:E16">D4/$D$17*$E$17</f>
        <v>21.069461827284105</v>
      </c>
      <c r="F4" s="84">
        <f>B4+E4+C4</f>
        <v>90.1054618272841</v>
      </c>
      <c r="G4" s="19">
        <f>F4*$G$1</f>
        <v>5864.964510337923</v>
      </c>
      <c r="H4" s="21">
        <f>5760+105</f>
        <v>5865</v>
      </c>
      <c r="I4" s="21">
        <f aca="true" t="shared" si="2" ref="I4:I14">H4-G4</f>
        <v>0.03548966207745252</v>
      </c>
    </row>
    <row r="5" spans="1:9" s="15" customFormat="1" ht="15">
      <c r="A5" s="103" t="s">
        <v>666</v>
      </c>
      <c r="B5" s="22">
        <v>8.92</v>
      </c>
      <c r="C5" s="22">
        <f t="shared" si="0"/>
        <v>0.892</v>
      </c>
      <c r="D5" s="22">
        <v>570</v>
      </c>
      <c r="E5" s="84">
        <f t="shared" si="1"/>
        <v>2.7929286608260324</v>
      </c>
      <c r="F5" s="84">
        <f aca="true" t="shared" si="3" ref="F5:F14">B5+E5+C5</f>
        <v>12.604928660826031</v>
      </c>
      <c r="G5" s="19">
        <f aca="true" t="shared" si="4" ref="G5:G14">F5*$G$1</f>
        <v>820.4548065331664</v>
      </c>
      <c r="H5" s="21">
        <f>802+18</f>
        <v>820</v>
      </c>
      <c r="I5" s="21">
        <f t="shared" si="2"/>
        <v>-0.4548065331664475</v>
      </c>
    </row>
    <row r="6" spans="1:9" s="8" customFormat="1" ht="15">
      <c r="A6" s="104" t="s">
        <v>79</v>
      </c>
      <c r="B6" s="22">
        <v>9.08</v>
      </c>
      <c r="C6" s="22">
        <f t="shared" si="0"/>
        <v>0.908</v>
      </c>
      <c r="D6" s="22">
        <v>70</v>
      </c>
      <c r="E6" s="84">
        <f t="shared" si="1"/>
        <v>0.34299123904881096</v>
      </c>
      <c r="F6" s="84">
        <f t="shared" si="3"/>
        <v>10.33099123904881</v>
      </c>
      <c r="G6" s="19">
        <f t="shared" si="4"/>
        <v>672.4442197496871</v>
      </c>
      <c r="H6" s="21">
        <v>651</v>
      </c>
      <c r="I6" s="21">
        <f t="shared" si="2"/>
        <v>-21.444219749687136</v>
      </c>
    </row>
    <row r="7" spans="1:9" s="8" customFormat="1" ht="15">
      <c r="A7" s="103" t="s">
        <v>667</v>
      </c>
      <c r="B7" s="22">
        <v>34</v>
      </c>
      <c r="C7" s="22">
        <f t="shared" si="0"/>
        <v>3.4000000000000004</v>
      </c>
      <c r="D7" s="22">
        <v>1480</v>
      </c>
      <c r="E7" s="84">
        <f t="shared" si="1"/>
        <v>7.251814768460576</v>
      </c>
      <c r="F7" s="84">
        <f t="shared" si="3"/>
        <v>44.651814768460575</v>
      </c>
      <c r="G7" s="19">
        <f t="shared" si="4"/>
        <v>2906.386623279099</v>
      </c>
      <c r="H7" s="21">
        <f>2847+59</f>
        <v>2906</v>
      </c>
      <c r="I7" s="21">
        <f t="shared" si="2"/>
        <v>-0.38662327909878513</v>
      </c>
    </row>
    <row r="8" spans="1:10" s="8" customFormat="1" ht="15">
      <c r="A8" s="103" t="s">
        <v>155</v>
      </c>
      <c r="B8" s="22">
        <v>4.12</v>
      </c>
      <c r="C8" s="22">
        <f t="shared" si="0"/>
        <v>0.41200000000000003</v>
      </c>
      <c r="D8" s="22">
        <v>110</v>
      </c>
      <c r="E8" s="84">
        <f t="shared" si="1"/>
        <v>0.5389862327909888</v>
      </c>
      <c r="F8" s="84">
        <f t="shared" si="3"/>
        <v>5.070986232790989</v>
      </c>
      <c r="G8" s="19">
        <f t="shared" si="4"/>
        <v>330.07049389236545</v>
      </c>
      <c r="H8" s="21">
        <f>319+20</f>
        <v>339</v>
      </c>
      <c r="I8" s="21">
        <f t="shared" si="2"/>
        <v>8.929506107634552</v>
      </c>
      <c r="J8" s="131"/>
    </row>
    <row r="9" spans="1:9" s="15" customFormat="1" ht="15">
      <c r="A9" s="103" t="s">
        <v>668</v>
      </c>
      <c r="B9" s="22">
        <v>26.92</v>
      </c>
      <c r="C9" s="22">
        <f>B9*0.1</f>
        <v>2.692</v>
      </c>
      <c r="D9" s="22">
        <v>1270</v>
      </c>
      <c r="E9" s="84">
        <f t="shared" si="1"/>
        <v>6.222841051314143</v>
      </c>
      <c r="F9" s="84">
        <f>B9+E9+C9</f>
        <v>35.83484105131414</v>
      </c>
      <c r="G9" s="19">
        <f>F9*$G$1</f>
        <v>2332.4898040300377</v>
      </c>
      <c r="H9" s="21">
        <f>2249+83</f>
        <v>2332</v>
      </c>
      <c r="I9" s="21">
        <f>H9-G9</f>
        <v>-0.48980403003770334</v>
      </c>
    </row>
    <row r="10" spans="1:9" s="15" customFormat="1" ht="15">
      <c r="A10" s="103" t="s">
        <v>283</v>
      </c>
      <c r="B10" s="22">
        <v>7.42</v>
      </c>
      <c r="C10" s="22">
        <f>B10*0.1</f>
        <v>0.742</v>
      </c>
      <c r="D10" s="22">
        <v>30</v>
      </c>
      <c r="E10" s="84">
        <f t="shared" si="1"/>
        <v>0.14699624530663327</v>
      </c>
      <c r="F10" s="84">
        <f>B10+E10+C10</f>
        <v>8.308996245306634</v>
      </c>
      <c r="G10" s="19">
        <f>F10*$G$1</f>
        <v>540.8325656070089</v>
      </c>
      <c r="H10" s="21">
        <v>526</v>
      </c>
      <c r="I10" s="21">
        <f>H10-G10</f>
        <v>-14.83256560700886</v>
      </c>
    </row>
    <row r="11" spans="1:9" s="8" customFormat="1" ht="15">
      <c r="A11" s="104" t="s">
        <v>680</v>
      </c>
      <c r="B11" s="22">
        <v>13.59</v>
      </c>
      <c r="C11" s="22">
        <f>B11*0.1</f>
        <v>1.359</v>
      </c>
      <c r="D11" s="22">
        <v>400</v>
      </c>
      <c r="E11" s="84">
        <f t="shared" si="1"/>
        <v>1.959949937421777</v>
      </c>
      <c r="F11" s="84">
        <f>B11+E11+C11</f>
        <v>16.908949937421777</v>
      </c>
      <c r="G11" s="19">
        <f>F11*$G$1</f>
        <v>1100.6035514267835</v>
      </c>
      <c r="H11" s="21">
        <f>1050+60</f>
        <v>1110</v>
      </c>
      <c r="I11" s="21">
        <f>H11-G11</f>
        <v>9.396448573216503</v>
      </c>
    </row>
    <row r="12" spans="1:9" s="8" customFormat="1" ht="15">
      <c r="A12" s="103" t="s">
        <v>669</v>
      </c>
      <c r="B12" s="22">
        <v>19.08</v>
      </c>
      <c r="C12" s="22">
        <f>B12*0.1</f>
        <v>1.908</v>
      </c>
      <c r="D12" s="22">
        <v>560</v>
      </c>
      <c r="E12" s="84">
        <f t="shared" si="1"/>
        <v>2.7439299123904877</v>
      </c>
      <c r="F12" s="84">
        <f>B12+E12+C12</f>
        <v>23.731929912390488</v>
      </c>
      <c r="G12" s="19">
        <f>F12*$G$1</f>
        <v>1544.711317997497</v>
      </c>
      <c r="H12" s="21">
        <f>1530+15</f>
        <v>1545</v>
      </c>
      <c r="I12" s="21">
        <f>H12-G12</f>
        <v>0.28868200250303744</v>
      </c>
    </row>
    <row r="13" spans="1:9" s="8" customFormat="1" ht="15">
      <c r="A13" s="103" t="s">
        <v>136</v>
      </c>
      <c r="B13" s="22">
        <v>14.84</v>
      </c>
      <c r="C13" s="22">
        <f>B13*0.1</f>
        <v>1.484</v>
      </c>
      <c r="D13" s="22">
        <v>1180</v>
      </c>
      <c r="E13" s="84">
        <f t="shared" si="1"/>
        <v>5.781852315394243</v>
      </c>
      <c r="F13" s="84">
        <f>B13+E13+C13</f>
        <v>22.105852315394245</v>
      </c>
      <c r="G13" s="19">
        <f>F13*$G$1</f>
        <v>1438.8699272090114</v>
      </c>
      <c r="H13" s="21">
        <f>1395+44</f>
        <v>1439</v>
      </c>
      <c r="I13" s="21">
        <f>H13-G13</f>
        <v>0.13007279098860636</v>
      </c>
    </row>
    <row r="14" spans="1:9" s="8" customFormat="1" ht="15">
      <c r="A14" s="104" t="s">
        <v>127</v>
      </c>
      <c r="B14" s="22">
        <v>14.92</v>
      </c>
      <c r="C14" s="22">
        <f t="shared" si="0"/>
        <v>1.492</v>
      </c>
      <c r="D14" s="22">
        <v>180</v>
      </c>
      <c r="E14" s="84">
        <f t="shared" si="1"/>
        <v>0.8819774718397997</v>
      </c>
      <c r="F14" s="84">
        <f t="shared" si="3"/>
        <v>17.2939774718398</v>
      </c>
      <c r="G14" s="19">
        <f t="shared" si="4"/>
        <v>1125.6649936420527</v>
      </c>
      <c r="H14" s="132">
        <v>1090</v>
      </c>
      <c r="I14" s="21">
        <f t="shared" si="2"/>
        <v>-35.66499364205265</v>
      </c>
    </row>
    <row r="15" spans="1:9" s="8" customFormat="1" ht="15">
      <c r="A15" s="4" t="s">
        <v>587</v>
      </c>
      <c r="B15" s="22">
        <v>10.75</v>
      </c>
      <c r="C15" s="22">
        <f>B15*0.1</f>
        <v>1.075</v>
      </c>
      <c r="D15" s="22">
        <v>410</v>
      </c>
      <c r="E15" s="84">
        <f>D15/$D$17*$E$17</f>
        <v>2.0089486858573213</v>
      </c>
      <c r="F15" s="84">
        <f>B15+E15+C15</f>
        <v>13.83394868585732</v>
      </c>
      <c r="G15" s="19">
        <f>F15*$G$1</f>
        <v>900.451719962453</v>
      </c>
      <c r="H15" s="21">
        <f>856+44</f>
        <v>900</v>
      </c>
      <c r="I15" s="21">
        <f>H15-G15</f>
        <v>-0.45171996245301216</v>
      </c>
    </row>
    <row r="16" spans="1:10" s="8" customFormat="1" ht="15">
      <c r="A16" s="4" t="s">
        <v>224</v>
      </c>
      <c r="B16" s="85"/>
      <c r="C16" s="85"/>
      <c r="D16" s="22">
        <v>5420</v>
      </c>
      <c r="E16" s="84">
        <f t="shared" si="1"/>
        <v>26.55732165206508</v>
      </c>
      <c r="F16" s="85"/>
      <c r="G16" s="28"/>
      <c r="H16" s="28"/>
      <c r="I16" s="28"/>
      <c r="J16" s="32"/>
    </row>
    <row r="17" spans="1:9" s="8" customFormat="1" ht="15">
      <c r="A17" s="25"/>
      <c r="B17" s="86">
        <f>SUM(B4:B16)</f>
        <v>226.39999999999998</v>
      </c>
      <c r="C17" s="86"/>
      <c r="D17" s="86">
        <f>SUM(D4:D16)</f>
        <v>15980</v>
      </c>
      <c r="E17" s="1">
        <v>78.3</v>
      </c>
      <c r="F17" s="113"/>
      <c r="G17" s="28"/>
      <c r="H17" s="28"/>
      <c r="I17" s="28"/>
    </row>
    <row r="18" spans="1:14" ht="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4" ht="27.75" customHeight="1">
      <c r="A19" s="130" t="s">
        <v>655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</row>
    <row r="20" spans="1:15" ht="31.5" customHeight="1">
      <c r="A20" s="128" t="s">
        <v>668</v>
      </c>
      <c r="B20" s="110" t="s">
        <v>670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24.7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1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42194</v>
      </c>
      <c r="C1" s="10"/>
      <c r="D1" s="10"/>
      <c r="E1" s="10"/>
      <c r="F1" s="11" t="s">
        <v>206</v>
      </c>
      <c r="G1" s="106">
        <v>65.4</v>
      </c>
      <c r="H1" s="8" t="s">
        <v>207</v>
      </c>
    </row>
    <row r="2" s="8" customFormat="1" ht="23.25" customHeight="1">
      <c r="A2" s="33"/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525</v>
      </c>
      <c r="B4" s="22">
        <v>20.5</v>
      </c>
      <c r="C4" s="22">
        <f aca="true" t="shared" si="0" ref="C4:C12">B4*0.1</f>
        <v>2.0500000000000003</v>
      </c>
      <c r="D4" s="22">
        <v>260</v>
      </c>
      <c r="E4" s="84">
        <f aca="true" t="shared" si="1" ref="E4:E13">D4/$D$14*$E$14</f>
        <v>1.3391313131313132</v>
      </c>
      <c r="F4" s="84">
        <f aca="true" t="shared" si="2" ref="F4:F12">B4+E4+C4</f>
        <v>23.889131313131315</v>
      </c>
      <c r="G4" s="19">
        <f aca="true" t="shared" si="3" ref="G4:G12">F4*$G$1</f>
        <v>1562.3491878787881</v>
      </c>
      <c r="H4" s="21">
        <f>540+1000+22</f>
        <v>1562</v>
      </c>
      <c r="I4" s="21">
        <f aca="true" t="shared" si="4" ref="I4:I12">H4-G4</f>
        <v>-0.3491878787881433</v>
      </c>
    </row>
    <row r="5" spans="1:9" s="15" customFormat="1" ht="15">
      <c r="A5" s="103" t="s">
        <v>494</v>
      </c>
      <c r="B5" s="22">
        <v>60.18</v>
      </c>
      <c r="C5" s="22">
        <f t="shared" si="0"/>
        <v>6.018000000000001</v>
      </c>
      <c r="D5" s="22">
        <v>1370</v>
      </c>
      <c r="E5" s="84">
        <f t="shared" si="1"/>
        <v>7.05619191919192</v>
      </c>
      <c r="F5" s="84">
        <f t="shared" si="2"/>
        <v>73.25419191919192</v>
      </c>
      <c r="G5" s="19">
        <f t="shared" si="3"/>
        <v>4790.824151515152</v>
      </c>
      <c r="H5" s="21">
        <f>4660+131</f>
        <v>4791</v>
      </c>
      <c r="I5" s="21">
        <f t="shared" si="4"/>
        <v>0.17584848484784743</v>
      </c>
    </row>
    <row r="6" spans="1:9" s="8" customFormat="1" ht="15">
      <c r="A6" s="104" t="s">
        <v>11</v>
      </c>
      <c r="B6" s="22">
        <v>31.75</v>
      </c>
      <c r="C6" s="22">
        <f t="shared" si="0"/>
        <v>3.1750000000000003</v>
      </c>
      <c r="D6" s="22">
        <v>1310</v>
      </c>
      <c r="E6" s="84">
        <f t="shared" si="1"/>
        <v>6.747161616161616</v>
      </c>
      <c r="F6" s="84">
        <f t="shared" si="2"/>
        <v>41.67216161616162</v>
      </c>
      <c r="G6" s="19">
        <f t="shared" si="3"/>
        <v>2725.35936969697</v>
      </c>
      <c r="H6" s="21">
        <f>1707+1000+13</f>
        <v>2720</v>
      </c>
      <c r="I6" s="21">
        <f t="shared" si="4"/>
        <v>-5.359369696970134</v>
      </c>
    </row>
    <row r="7" spans="1:9" s="8" customFormat="1" ht="15">
      <c r="A7" s="103" t="s">
        <v>674</v>
      </c>
      <c r="B7" s="22">
        <v>8.25</v>
      </c>
      <c r="C7" s="22">
        <f t="shared" si="0"/>
        <v>0.8250000000000001</v>
      </c>
      <c r="D7" s="22">
        <v>260</v>
      </c>
      <c r="E7" s="84">
        <f t="shared" si="1"/>
        <v>1.3391313131313132</v>
      </c>
      <c r="F7" s="84">
        <f t="shared" si="2"/>
        <v>10.414131313131312</v>
      </c>
      <c r="G7" s="19">
        <f t="shared" si="3"/>
        <v>681.0841878787879</v>
      </c>
      <c r="H7" s="21">
        <f>666+15</f>
        <v>681</v>
      </c>
      <c r="I7" s="21">
        <f t="shared" si="4"/>
        <v>-0.08418787878792955</v>
      </c>
    </row>
    <row r="8" spans="1:10" s="8" customFormat="1" ht="15">
      <c r="A8" s="103" t="s">
        <v>418</v>
      </c>
      <c r="B8" s="22">
        <v>62.1</v>
      </c>
      <c r="C8" s="22">
        <f t="shared" si="0"/>
        <v>6.210000000000001</v>
      </c>
      <c r="D8" s="22">
        <v>550</v>
      </c>
      <c r="E8" s="84">
        <f t="shared" si="1"/>
        <v>2.832777777777778</v>
      </c>
      <c r="F8" s="84">
        <f t="shared" si="2"/>
        <v>71.14277777777778</v>
      </c>
      <c r="G8" s="19">
        <f t="shared" si="3"/>
        <v>4652.737666666667</v>
      </c>
      <c r="H8" s="21">
        <v>4626</v>
      </c>
      <c r="I8" s="21">
        <f t="shared" si="4"/>
        <v>-26.737666666666883</v>
      </c>
      <c r="J8" s="131"/>
    </row>
    <row r="9" spans="1:9" s="15" customFormat="1" ht="15">
      <c r="A9" s="103" t="s">
        <v>478</v>
      </c>
      <c r="B9" s="22">
        <v>17.42</v>
      </c>
      <c r="C9" s="22">
        <f t="shared" si="0"/>
        <v>1.7420000000000002</v>
      </c>
      <c r="D9" s="22">
        <v>350</v>
      </c>
      <c r="E9" s="84">
        <f t="shared" si="1"/>
        <v>1.8026767676767677</v>
      </c>
      <c r="F9" s="84">
        <f t="shared" si="2"/>
        <v>20.96467676767677</v>
      </c>
      <c r="G9" s="19">
        <f t="shared" si="3"/>
        <v>1371.089860606061</v>
      </c>
      <c r="H9" s="21">
        <f>1359+12</f>
        <v>1371</v>
      </c>
      <c r="I9" s="21">
        <f t="shared" si="4"/>
        <v>-0.08986060606093815</v>
      </c>
    </row>
    <row r="10" spans="1:9" s="15" customFormat="1" ht="15">
      <c r="A10" s="103" t="s">
        <v>675</v>
      </c>
      <c r="B10" s="22">
        <v>10.42</v>
      </c>
      <c r="C10" s="22">
        <f t="shared" si="0"/>
        <v>1.042</v>
      </c>
      <c r="D10" s="22">
        <v>60</v>
      </c>
      <c r="E10" s="84">
        <f t="shared" si="1"/>
        <v>0.30903030303030304</v>
      </c>
      <c r="F10" s="84">
        <f t="shared" si="2"/>
        <v>11.771030303030303</v>
      </c>
      <c r="G10" s="19">
        <f t="shared" si="3"/>
        <v>769.8253818181819</v>
      </c>
      <c r="H10" s="21">
        <v>770</v>
      </c>
      <c r="I10" s="21">
        <f t="shared" si="4"/>
        <v>0.1746181818181185</v>
      </c>
    </row>
    <row r="11" spans="1:9" s="8" customFormat="1" ht="15">
      <c r="A11" s="104" t="s">
        <v>430</v>
      </c>
      <c r="B11" s="22">
        <v>6.25</v>
      </c>
      <c r="C11" s="22">
        <f t="shared" si="0"/>
        <v>0.625</v>
      </c>
      <c r="D11" s="22">
        <v>210</v>
      </c>
      <c r="E11" s="84">
        <f t="shared" si="1"/>
        <v>1.0816060606060607</v>
      </c>
      <c r="F11" s="84">
        <f t="shared" si="2"/>
        <v>7.9566060606060605</v>
      </c>
      <c r="G11" s="19">
        <f t="shared" si="3"/>
        <v>520.3620363636364</v>
      </c>
      <c r="H11" s="21">
        <v>508</v>
      </c>
      <c r="I11" s="21">
        <f t="shared" si="4"/>
        <v>-12.362036363636435</v>
      </c>
    </row>
    <row r="12" spans="1:9" s="8" customFormat="1" ht="15">
      <c r="A12" s="103" t="s">
        <v>24</v>
      </c>
      <c r="B12" s="22">
        <v>14.04</v>
      </c>
      <c r="C12" s="22">
        <f t="shared" si="0"/>
        <v>1.404</v>
      </c>
      <c r="D12" s="22">
        <v>190</v>
      </c>
      <c r="E12" s="84">
        <f t="shared" si="1"/>
        <v>0.9785959595959596</v>
      </c>
      <c r="F12" s="84">
        <f t="shared" si="2"/>
        <v>16.42259595959596</v>
      </c>
      <c r="G12" s="19">
        <f t="shared" si="3"/>
        <v>1074.037775757576</v>
      </c>
      <c r="H12" s="21">
        <f>1063+11</f>
        <v>1074</v>
      </c>
      <c r="I12" s="21">
        <f t="shared" si="4"/>
        <v>-0.03777575757590057</v>
      </c>
    </row>
    <row r="13" spans="1:10" s="8" customFormat="1" ht="15">
      <c r="A13" s="4" t="s">
        <v>224</v>
      </c>
      <c r="B13" s="85"/>
      <c r="C13" s="85"/>
      <c r="D13" s="22">
        <v>5340</v>
      </c>
      <c r="E13" s="84">
        <f t="shared" si="1"/>
        <v>27.50369696969697</v>
      </c>
      <c r="F13" s="85"/>
      <c r="G13" s="28"/>
      <c r="H13" s="28"/>
      <c r="I13" s="28"/>
      <c r="J13" s="32"/>
    </row>
    <row r="14" spans="1:9" s="8" customFormat="1" ht="15">
      <c r="A14" s="25"/>
      <c r="B14" s="86">
        <f>SUM(B4:B13)</f>
        <v>230.90999999999997</v>
      </c>
      <c r="C14" s="86"/>
      <c r="D14" s="86">
        <f>SUM(D4:D13)</f>
        <v>9900</v>
      </c>
      <c r="E14" s="1">
        <v>50.99</v>
      </c>
      <c r="F14" s="113"/>
      <c r="G14" s="28"/>
      <c r="H14" s="28"/>
      <c r="I14" s="28"/>
    </row>
    <row r="15" spans="1:14" ht="1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</row>
    <row r="16" spans="1:14" ht="21">
      <c r="A16" s="130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</row>
    <row r="17" spans="1:14" ht="21">
      <c r="A17" s="130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42208</v>
      </c>
      <c r="C1" s="10"/>
      <c r="D1" s="10"/>
      <c r="E1" s="10"/>
      <c r="F1" s="11" t="s">
        <v>206</v>
      </c>
      <c r="G1" s="106">
        <v>65.42</v>
      </c>
      <c r="H1" s="8" t="s">
        <v>207</v>
      </c>
    </row>
    <row r="2" s="8" customFormat="1" ht="23.25" customHeight="1">
      <c r="A2" s="33" t="s">
        <v>681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10" s="15" customFormat="1" ht="60">
      <c r="A4" s="103" t="s">
        <v>423</v>
      </c>
      <c r="B4" s="22">
        <v>11.58</v>
      </c>
      <c r="C4" s="22">
        <f aca="true" t="shared" si="0" ref="C4:C12">B4*0.1</f>
        <v>1.1580000000000001</v>
      </c>
      <c r="D4" s="22">
        <v>1150</v>
      </c>
      <c r="E4" s="84">
        <f>D4/$D$16*$E$16</f>
        <v>5.819612590799031</v>
      </c>
      <c r="F4" s="84">
        <f aca="true" t="shared" si="1" ref="F4:F12">B4+E4+C4</f>
        <v>18.55761259079903</v>
      </c>
      <c r="G4" s="19">
        <f aca="true" t="shared" si="2" ref="G4:G12">F4*$G$1</f>
        <v>1214.0390156900726</v>
      </c>
      <c r="H4" s="21">
        <f>1203+11</f>
        <v>1214</v>
      </c>
      <c r="I4" s="21">
        <f aca="true" t="shared" si="3" ref="I4:I12">H4-G4</f>
        <v>-0.039015690072574216</v>
      </c>
      <c r="J4" s="15" t="s">
        <v>690</v>
      </c>
    </row>
    <row r="5" spans="1:9" s="15" customFormat="1" ht="15">
      <c r="A5" s="103" t="s">
        <v>418</v>
      </c>
      <c r="B5" s="22">
        <v>37.26</v>
      </c>
      <c r="C5" s="22">
        <f t="shared" si="0"/>
        <v>3.726</v>
      </c>
      <c r="D5" s="22">
        <v>330</v>
      </c>
      <c r="E5" s="84">
        <f aca="true" t="shared" si="4" ref="E5:E15">D5/$D$16*$E$16</f>
        <v>1.6699757869249396</v>
      </c>
      <c r="F5" s="84">
        <f t="shared" si="1"/>
        <v>42.655975786924934</v>
      </c>
      <c r="G5" s="19">
        <f t="shared" si="2"/>
        <v>2790.5539359806294</v>
      </c>
      <c r="H5" s="21">
        <v>2841</v>
      </c>
      <c r="I5" s="21">
        <f t="shared" si="3"/>
        <v>50.446064019370624</v>
      </c>
    </row>
    <row r="6" spans="1:9" s="8" customFormat="1" ht="15">
      <c r="A6" s="104" t="s">
        <v>682</v>
      </c>
      <c r="B6" s="22">
        <v>26.58</v>
      </c>
      <c r="C6" s="22">
        <f t="shared" si="0"/>
        <v>2.658</v>
      </c>
      <c r="D6" s="22">
        <v>330</v>
      </c>
      <c r="E6" s="84">
        <f t="shared" si="4"/>
        <v>1.6699757869249396</v>
      </c>
      <c r="F6" s="84">
        <f t="shared" si="1"/>
        <v>30.90797578692494</v>
      </c>
      <c r="G6" s="19">
        <f t="shared" si="2"/>
        <v>2021.9997759806297</v>
      </c>
      <c r="H6" s="21">
        <v>2030</v>
      </c>
      <c r="I6" s="21">
        <f t="shared" si="3"/>
        <v>8.000224019370307</v>
      </c>
    </row>
    <row r="7" spans="1:9" s="8" customFormat="1" ht="15">
      <c r="A7" s="103" t="s">
        <v>630</v>
      </c>
      <c r="B7" s="22">
        <v>13.25</v>
      </c>
      <c r="C7" s="22">
        <f t="shared" si="0"/>
        <v>1.3250000000000002</v>
      </c>
      <c r="D7" s="22">
        <v>70</v>
      </c>
      <c r="E7" s="84">
        <f t="shared" si="4"/>
        <v>0.35423728813559324</v>
      </c>
      <c r="F7" s="84">
        <f t="shared" si="1"/>
        <v>14.929237288135592</v>
      </c>
      <c r="G7" s="19">
        <f t="shared" si="2"/>
        <v>976.6707033898305</v>
      </c>
      <c r="H7" s="21">
        <f>973+34</f>
        <v>1007</v>
      </c>
      <c r="I7" s="21">
        <f t="shared" si="3"/>
        <v>30.329296610169536</v>
      </c>
    </row>
    <row r="8" spans="1:10" s="8" customFormat="1" ht="15">
      <c r="A8" s="103" t="s">
        <v>490</v>
      </c>
      <c r="B8" s="22">
        <v>12.42</v>
      </c>
      <c r="C8" s="22">
        <f t="shared" si="0"/>
        <v>1.242</v>
      </c>
      <c r="D8" s="22">
        <v>480</v>
      </c>
      <c r="E8" s="84">
        <f t="shared" si="4"/>
        <v>2.4290556900726394</v>
      </c>
      <c r="F8" s="84">
        <f t="shared" si="1"/>
        <v>16.09105569007264</v>
      </c>
      <c r="G8" s="19">
        <f t="shared" si="2"/>
        <v>1052.6768632445521</v>
      </c>
      <c r="H8" s="21">
        <f>1048+5</f>
        <v>1053</v>
      </c>
      <c r="I8" s="21">
        <f t="shared" si="3"/>
        <v>0.32313675544787657</v>
      </c>
      <c r="J8" s="131"/>
    </row>
    <row r="9" spans="1:9" s="15" customFormat="1" ht="15">
      <c r="A9" s="103" t="s">
        <v>683</v>
      </c>
      <c r="B9" s="22">
        <v>9.08</v>
      </c>
      <c r="C9" s="22">
        <f t="shared" si="0"/>
        <v>0.908</v>
      </c>
      <c r="D9" s="22">
        <v>1100</v>
      </c>
      <c r="E9" s="84">
        <f t="shared" si="4"/>
        <v>5.566585956416465</v>
      </c>
      <c r="F9" s="84">
        <f t="shared" si="1"/>
        <v>15.554585956416465</v>
      </c>
      <c r="G9" s="19">
        <f t="shared" si="2"/>
        <v>1017.5810132687652</v>
      </c>
      <c r="H9" s="21">
        <v>1024</v>
      </c>
      <c r="I9" s="21">
        <f t="shared" si="3"/>
        <v>6.4189867312347815</v>
      </c>
    </row>
    <row r="10" spans="1:9" s="15" customFormat="1" ht="15">
      <c r="A10" s="103" t="s">
        <v>115</v>
      </c>
      <c r="B10" s="22">
        <v>16.58</v>
      </c>
      <c r="C10" s="22">
        <f t="shared" si="0"/>
        <v>1.658</v>
      </c>
      <c r="D10" s="22">
        <v>530</v>
      </c>
      <c r="E10" s="84">
        <f t="shared" si="4"/>
        <v>2.682082324455206</v>
      </c>
      <c r="F10" s="84">
        <f t="shared" si="1"/>
        <v>20.920082324455205</v>
      </c>
      <c r="G10" s="19">
        <f t="shared" si="2"/>
        <v>1368.5917856658596</v>
      </c>
      <c r="H10" s="21">
        <v>1364</v>
      </c>
      <c r="I10" s="21">
        <f t="shared" si="3"/>
        <v>-4.591785665859561</v>
      </c>
    </row>
    <row r="11" spans="1:9" s="8" customFormat="1" ht="15">
      <c r="A11" s="104" t="s">
        <v>155</v>
      </c>
      <c r="B11" s="22">
        <v>19</v>
      </c>
      <c r="C11" s="22">
        <f t="shared" si="0"/>
        <v>1.9000000000000001</v>
      </c>
      <c r="D11" s="22">
        <v>590</v>
      </c>
      <c r="E11" s="84">
        <f t="shared" si="4"/>
        <v>2.9857142857142858</v>
      </c>
      <c r="F11" s="84">
        <f t="shared" si="1"/>
        <v>23.885714285714286</v>
      </c>
      <c r="G11" s="19">
        <f t="shared" si="2"/>
        <v>1562.6034285714286</v>
      </c>
      <c r="H11" s="21">
        <f>1549+14</f>
        <v>1563</v>
      </c>
      <c r="I11" s="21">
        <f t="shared" si="3"/>
        <v>0.3965714285714057</v>
      </c>
    </row>
    <row r="12" spans="1:9" s="8" customFormat="1" ht="15">
      <c r="A12" s="103" t="s">
        <v>684</v>
      </c>
      <c r="B12" s="22">
        <v>49.5</v>
      </c>
      <c r="C12" s="22">
        <f t="shared" si="0"/>
        <v>4.95</v>
      </c>
      <c r="D12" s="22">
        <v>2140</v>
      </c>
      <c r="E12" s="84">
        <f t="shared" si="4"/>
        <v>10.82953995157385</v>
      </c>
      <c r="F12" s="84">
        <f t="shared" si="1"/>
        <v>65.27953995157385</v>
      </c>
      <c r="G12" s="19">
        <f t="shared" si="2"/>
        <v>4270.587503631961</v>
      </c>
      <c r="H12" s="21">
        <f>4200+71</f>
        <v>4271</v>
      </c>
      <c r="I12" s="21">
        <f t="shared" si="3"/>
        <v>0.41249636803877365</v>
      </c>
    </row>
    <row r="13" spans="1:9" s="8" customFormat="1" ht="15">
      <c r="A13" s="104" t="s">
        <v>685</v>
      </c>
      <c r="B13" s="22">
        <v>11.93</v>
      </c>
      <c r="C13" s="22">
        <f>B13*0.1</f>
        <v>1.193</v>
      </c>
      <c r="D13" s="22">
        <v>70</v>
      </c>
      <c r="E13" s="84">
        <f>D13/$D$16*$E$16</f>
        <v>0.35423728813559324</v>
      </c>
      <c r="F13" s="84">
        <f>B13+E13+C13</f>
        <v>13.477237288135592</v>
      </c>
      <c r="G13" s="19">
        <f>F13*$G$1</f>
        <v>881.6808633898305</v>
      </c>
      <c r="H13" s="21">
        <f>879+3</f>
        <v>882</v>
      </c>
      <c r="I13" s="21">
        <f>H13-G13</f>
        <v>0.3191366101694939</v>
      </c>
    </row>
    <row r="14" spans="1:9" s="8" customFormat="1" ht="15">
      <c r="A14" s="104" t="s">
        <v>597</v>
      </c>
      <c r="B14" s="22">
        <v>19.5</v>
      </c>
      <c r="C14" s="22">
        <f>B14*0.1</f>
        <v>1.9500000000000002</v>
      </c>
      <c r="D14" s="22">
        <v>670</v>
      </c>
      <c r="E14" s="84">
        <f>D14/$D$16*$E$16</f>
        <v>3.3905569007263927</v>
      </c>
      <c r="F14" s="84">
        <f>B14+E14+C14</f>
        <v>24.84055690072639</v>
      </c>
      <c r="G14" s="19">
        <f>F14*$G$1</f>
        <v>1625.0692324455206</v>
      </c>
      <c r="H14" s="21">
        <v>1628</v>
      </c>
      <c r="I14" s="21">
        <f>H14-G14</f>
        <v>2.9307675544794165</v>
      </c>
    </row>
    <row r="15" spans="1:10" s="8" customFormat="1" ht="15">
      <c r="A15" s="104" t="s">
        <v>224</v>
      </c>
      <c r="B15" s="85"/>
      <c r="C15" s="85"/>
      <c r="D15" s="22">
        <v>4930</v>
      </c>
      <c r="E15" s="84">
        <f t="shared" si="4"/>
        <v>24.948426150121065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226.68</v>
      </c>
      <c r="C16" s="86"/>
      <c r="D16" s="86">
        <f>SUM(D4:D15)</f>
        <v>12390</v>
      </c>
      <c r="E16" s="1">
        <v>62.7</v>
      </c>
      <c r="F16" s="113"/>
      <c r="G16" s="28"/>
      <c r="H16" s="28"/>
      <c r="I16" s="28"/>
    </row>
    <row r="17" spans="1:14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686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17" t="s">
        <v>685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10" t="s">
        <v>687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205</v>
      </c>
      <c r="B1" s="10">
        <v>42221</v>
      </c>
      <c r="C1" s="10"/>
      <c r="D1" s="10"/>
      <c r="E1" s="10"/>
      <c r="F1" s="11" t="s">
        <v>206</v>
      </c>
      <c r="G1" s="106">
        <v>71.85</v>
      </c>
      <c r="H1" s="8" t="s">
        <v>207</v>
      </c>
    </row>
    <row r="2" s="8" customFormat="1" ht="23.25" customHeight="1">
      <c r="A2" s="33" t="s">
        <v>691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692</v>
      </c>
      <c r="B4" s="22">
        <v>8.25</v>
      </c>
      <c r="C4" s="22">
        <f aca="true" t="shared" si="0" ref="C4:C11">B4*0.1</f>
        <v>0.8250000000000001</v>
      </c>
      <c r="D4" s="22">
        <v>40</v>
      </c>
      <c r="E4" s="84">
        <f aca="true" t="shared" si="1" ref="E4:E12">D4/$D$13*$E$13</f>
        <v>0.21583068783068785</v>
      </c>
      <c r="F4" s="84">
        <f aca="true" t="shared" si="2" ref="F4:F11">B4+E4+C4</f>
        <v>9.290830687830686</v>
      </c>
      <c r="G4" s="19">
        <f aca="true" t="shared" si="3" ref="G4:G11">F4*$G$1</f>
        <v>667.5461849206348</v>
      </c>
      <c r="H4" s="21">
        <v>688</v>
      </c>
      <c r="I4" s="21">
        <f aca="true" t="shared" si="4" ref="I4:I11">H4-G4</f>
        <v>20.4538150793652</v>
      </c>
    </row>
    <row r="5" spans="1:9" s="15" customFormat="1" ht="15">
      <c r="A5" s="103" t="s">
        <v>647</v>
      </c>
      <c r="B5" s="22">
        <v>17.83</v>
      </c>
      <c r="C5" s="22">
        <f t="shared" si="0"/>
        <v>1.783</v>
      </c>
      <c r="D5" s="22">
        <v>330</v>
      </c>
      <c r="E5" s="84">
        <f t="shared" si="1"/>
        <v>1.7806031746031747</v>
      </c>
      <c r="F5" s="84">
        <f t="shared" si="2"/>
        <v>21.393603174603175</v>
      </c>
      <c r="G5" s="19">
        <f t="shared" si="3"/>
        <v>1537.130388095238</v>
      </c>
      <c r="H5" s="21">
        <f>1471+66</f>
        <v>1537</v>
      </c>
      <c r="I5" s="21">
        <f t="shared" si="4"/>
        <v>-0.1303880952380041</v>
      </c>
    </row>
    <row r="6" spans="1:10" s="8" customFormat="1" ht="15">
      <c r="A6" s="104" t="s">
        <v>693</v>
      </c>
      <c r="B6" s="22">
        <v>4.34</v>
      </c>
      <c r="C6" s="22">
        <f t="shared" si="0"/>
        <v>0.434</v>
      </c>
      <c r="D6" s="22">
        <v>250</v>
      </c>
      <c r="E6" s="84">
        <f t="shared" si="1"/>
        <v>1.3489417989417989</v>
      </c>
      <c r="F6" s="84">
        <f t="shared" si="2"/>
        <v>6.122941798941799</v>
      </c>
      <c r="G6" s="19">
        <f t="shared" si="3"/>
        <v>439.93336825396824</v>
      </c>
      <c r="H6" s="21">
        <f>414+9+17</f>
        <v>440</v>
      </c>
      <c r="I6" s="21">
        <f t="shared" si="4"/>
        <v>0.06663174603176003</v>
      </c>
      <c r="J6" s="8" t="s">
        <v>700</v>
      </c>
    </row>
    <row r="7" spans="1:9" s="8" customFormat="1" ht="15">
      <c r="A7" s="103" t="s">
        <v>694</v>
      </c>
      <c r="B7" s="22">
        <v>14.84</v>
      </c>
      <c r="C7" s="22">
        <f t="shared" si="0"/>
        <v>1.484</v>
      </c>
      <c r="D7" s="22">
        <v>370</v>
      </c>
      <c r="E7" s="84">
        <f t="shared" si="1"/>
        <v>1.9964338624338627</v>
      </c>
      <c r="F7" s="84">
        <f t="shared" si="2"/>
        <v>18.320433862433866</v>
      </c>
      <c r="G7" s="19">
        <f t="shared" si="3"/>
        <v>1316.3231730158732</v>
      </c>
      <c r="H7" s="21">
        <f>1304+12</f>
        <v>1316</v>
      </c>
      <c r="I7" s="21">
        <f t="shared" si="4"/>
        <v>-0.3231730158731807</v>
      </c>
    </row>
    <row r="8" spans="1:10" s="8" customFormat="1" ht="15">
      <c r="A8" s="103" t="s">
        <v>548</v>
      </c>
      <c r="B8" s="22">
        <v>18.16</v>
      </c>
      <c r="C8" s="22">
        <f t="shared" si="0"/>
        <v>1.816</v>
      </c>
      <c r="D8" s="22">
        <v>120</v>
      </c>
      <c r="E8" s="84">
        <f t="shared" si="1"/>
        <v>0.6474920634920636</v>
      </c>
      <c r="F8" s="84">
        <f t="shared" si="2"/>
        <v>20.623492063492062</v>
      </c>
      <c r="G8" s="19">
        <f t="shared" si="3"/>
        <v>1481.7979047619046</v>
      </c>
      <c r="H8" s="21">
        <f>1459+23</f>
        <v>1482</v>
      </c>
      <c r="I8" s="21">
        <f t="shared" si="4"/>
        <v>0.20209523809535312</v>
      </c>
      <c r="J8" s="131"/>
    </row>
    <row r="9" spans="1:9" s="15" customFormat="1" ht="15">
      <c r="A9" s="103" t="s">
        <v>695</v>
      </c>
      <c r="B9" s="22">
        <v>61.02</v>
      </c>
      <c r="C9" s="22">
        <f t="shared" si="0"/>
        <v>6.102</v>
      </c>
      <c r="D9" s="22">
        <v>530</v>
      </c>
      <c r="E9" s="84">
        <f t="shared" si="1"/>
        <v>2.859756613756614</v>
      </c>
      <c r="F9" s="84">
        <f t="shared" si="2"/>
        <v>69.98175661375662</v>
      </c>
      <c r="G9" s="19">
        <f t="shared" si="3"/>
        <v>5028.189212698412</v>
      </c>
      <c r="H9" s="21">
        <f>4981+47</f>
        <v>5028</v>
      </c>
      <c r="I9" s="21">
        <f t="shared" si="4"/>
        <v>-0.18921269841212052</v>
      </c>
    </row>
    <row r="10" spans="1:9" s="15" customFormat="1" ht="15">
      <c r="A10" s="103" t="s">
        <v>696</v>
      </c>
      <c r="B10" s="22">
        <v>18.66</v>
      </c>
      <c r="C10" s="22">
        <f t="shared" si="0"/>
        <v>1.866</v>
      </c>
      <c r="D10" s="22">
        <v>630</v>
      </c>
      <c r="E10" s="84">
        <f t="shared" si="1"/>
        <v>3.3993333333333333</v>
      </c>
      <c r="F10" s="84">
        <f t="shared" si="2"/>
        <v>23.925333333333334</v>
      </c>
      <c r="G10" s="19">
        <f t="shared" si="3"/>
        <v>1719.0352</v>
      </c>
      <c r="H10" s="21">
        <f>1693+26</f>
        <v>1719</v>
      </c>
      <c r="I10" s="21">
        <f t="shared" si="4"/>
        <v>-0.03520000000003165</v>
      </c>
    </row>
    <row r="11" spans="1:9" s="8" customFormat="1" ht="15">
      <c r="A11" s="104" t="s">
        <v>697</v>
      </c>
      <c r="B11" s="22">
        <v>34.84</v>
      </c>
      <c r="C11" s="22">
        <f t="shared" si="0"/>
        <v>3.4840000000000004</v>
      </c>
      <c r="D11" s="22">
        <v>200</v>
      </c>
      <c r="E11" s="84">
        <f t="shared" si="1"/>
        <v>1.0791534391534392</v>
      </c>
      <c r="F11" s="84">
        <f t="shared" si="2"/>
        <v>39.40315343915344</v>
      </c>
      <c r="G11" s="19">
        <f t="shared" si="3"/>
        <v>2831.1165746031747</v>
      </c>
      <c r="H11" s="21">
        <v>2831</v>
      </c>
      <c r="I11" s="21">
        <f t="shared" si="4"/>
        <v>-0.11657460317474033</v>
      </c>
    </row>
    <row r="12" spans="1:10" s="8" customFormat="1" ht="15">
      <c r="A12" s="104" t="s">
        <v>224</v>
      </c>
      <c r="B12" s="85"/>
      <c r="C12" s="85"/>
      <c r="D12" s="22">
        <v>6980</v>
      </c>
      <c r="E12" s="84">
        <f t="shared" si="1"/>
        <v>37.66245502645503</v>
      </c>
      <c r="F12" s="85"/>
      <c r="G12" s="28"/>
      <c r="H12" s="28"/>
      <c r="I12" s="28"/>
      <c r="J12" s="32"/>
    </row>
    <row r="13" spans="1:9" s="8" customFormat="1" ht="15">
      <c r="A13" s="25"/>
      <c r="B13" s="86">
        <f>SUM(B4:B12)</f>
        <v>177.94</v>
      </c>
      <c r="C13" s="86"/>
      <c r="D13" s="86">
        <f>SUM(D4:D12)</f>
        <v>9450</v>
      </c>
      <c r="E13" s="1">
        <v>50.99</v>
      </c>
      <c r="F13" s="113">
        <f>E13/D13*1000</f>
        <v>5.3957671957671955</v>
      </c>
      <c r="G13" s="28"/>
      <c r="H13" s="28"/>
      <c r="I13" s="28"/>
    </row>
    <row r="14" spans="1:14" ht="1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</row>
    <row r="17" spans="1:15" ht="24.7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90" zoomScaleNormal="90" zoomScalePageLayoutView="0" workbookViewId="0" topLeftCell="A1">
      <selection activeCell="M3" sqref="M3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8" customFormat="1" ht="21.75" customHeight="1">
      <c r="A1" s="9" t="s">
        <v>205</v>
      </c>
      <c r="B1" s="10">
        <v>42243</v>
      </c>
      <c r="C1" s="10"/>
      <c r="D1" s="10"/>
      <c r="E1" s="10"/>
      <c r="F1" s="11" t="s">
        <v>206</v>
      </c>
      <c r="G1" s="106">
        <v>75.45</v>
      </c>
      <c r="H1" s="8" t="s">
        <v>207</v>
      </c>
    </row>
    <row r="2" s="8" customFormat="1" ht="23.25" customHeight="1">
      <c r="A2" s="33" t="s">
        <v>702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10" s="15" customFormat="1" ht="45">
      <c r="A4" s="103" t="s">
        <v>703</v>
      </c>
      <c r="B4" s="22">
        <v>37.17</v>
      </c>
      <c r="C4" s="22">
        <f>B4*0.1</f>
        <v>3.7170000000000005</v>
      </c>
      <c r="D4" s="22">
        <v>3300</v>
      </c>
      <c r="E4" s="84">
        <f aca="true" t="shared" si="0" ref="E4:E9">D4/$D$10*$E$10</f>
        <v>16.641630901287552</v>
      </c>
      <c r="F4" s="84">
        <f>B4+E4+C4</f>
        <v>57.528630901287556</v>
      </c>
      <c r="G4" s="19">
        <f>F4*$G$1</f>
        <v>4340.535201502146</v>
      </c>
      <c r="H4" s="21">
        <f>4675-334</f>
        <v>4341</v>
      </c>
      <c r="I4" s="21">
        <f>H4-G4</f>
        <v>0.46479849785373517</v>
      </c>
      <c r="J4" s="15" t="s">
        <v>904</v>
      </c>
    </row>
    <row r="5" spans="1:9" s="15" customFormat="1" ht="15">
      <c r="A5" s="103" t="s">
        <v>704</v>
      </c>
      <c r="B5" s="22">
        <v>8.25</v>
      </c>
      <c r="C5" s="22">
        <f>B5*0.1</f>
        <v>0.8250000000000001</v>
      </c>
      <c r="D5" s="22">
        <v>70</v>
      </c>
      <c r="E5" s="84">
        <f t="shared" si="0"/>
        <v>0.35300429184549353</v>
      </c>
      <c r="F5" s="84">
        <f>B5+E5+C5</f>
        <v>9.428004291845493</v>
      </c>
      <c r="G5" s="19">
        <f>F5*$G$1</f>
        <v>711.3429238197425</v>
      </c>
      <c r="H5" s="21">
        <v>767</v>
      </c>
      <c r="I5" s="21">
        <f>H5-G5</f>
        <v>55.65707618025749</v>
      </c>
    </row>
    <row r="6" spans="1:9" s="8" customFormat="1" ht="15">
      <c r="A6" s="104" t="s">
        <v>705</v>
      </c>
      <c r="B6" s="22">
        <v>10.17</v>
      </c>
      <c r="C6" s="22">
        <f>B6*0.1</f>
        <v>1.0170000000000001</v>
      </c>
      <c r="D6" s="22">
        <v>1160</v>
      </c>
      <c r="E6" s="84">
        <f t="shared" si="0"/>
        <v>5.849785407725323</v>
      </c>
      <c r="F6" s="84">
        <f>B6+E6+C6</f>
        <v>17.036785407725322</v>
      </c>
      <c r="G6" s="19">
        <f>F6*$G$1</f>
        <v>1285.4254590128755</v>
      </c>
      <c r="H6" s="21">
        <v>1380</v>
      </c>
      <c r="I6" s="21">
        <f>H6-G6</f>
        <v>94.57454098712446</v>
      </c>
    </row>
    <row r="7" spans="1:10" s="8" customFormat="1" ht="15">
      <c r="A7" s="103" t="s">
        <v>674</v>
      </c>
      <c r="B7" s="22">
        <v>7.42</v>
      </c>
      <c r="C7" s="22">
        <f>B7*0.1</f>
        <v>0.742</v>
      </c>
      <c r="D7" s="22">
        <v>320</v>
      </c>
      <c r="E7" s="84">
        <f t="shared" si="0"/>
        <v>1.613733905579399</v>
      </c>
      <c r="F7" s="84">
        <f>B7+E7+C7</f>
        <v>9.7757339055794</v>
      </c>
      <c r="G7" s="19">
        <f>F7*$G$1</f>
        <v>737.5791231759658</v>
      </c>
      <c r="H7" s="21">
        <f>795-30</f>
        <v>765</v>
      </c>
      <c r="I7" s="21">
        <f>H7-G7</f>
        <v>27.420876824034167</v>
      </c>
      <c r="J7" s="8" t="s">
        <v>718</v>
      </c>
    </row>
    <row r="8" spans="1:10" s="8" customFormat="1" ht="15">
      <c r="A8" s="103" t="s">
        <v>706</v>
      </c>
      <c r="B8" s="22">
        <v>5.99</v>
      </c>
      <c r="C8" s="22">
        <f>B8*0.1</f>
        <v>0.5990000000000001</v>
      </c>
      <c r="D8" s="22">
        <v>840</v>
      </c>
      <c r="E8" s="84">
        <f t="shared" si="0"/>
        <v>4.236051502145923</v>
      </c>
      <c r="F8" s="84">
        <f>B8+E8+C8</f>
        <v>10.825051502145923</v>
      </c>
      <c r="G8" s="19">
        <f>F8*$G$1</f>
        <v>816.75013583691</v>
      </c>
      <c r="H8" s="21">
        <f>880-63</f>
        <v>817</v>
      </c>
      <c r="I8" s="21">
        <f>H8-G8</f>
        <v>0.2498641630900238</v>
      </c>
      <c r="J8" s="131"/>
    </row>
    <row r="9" spans="1:10" s="8" customFormat="1" ht="15">
      <c r="A9" s="104" t="s">
        <v>224</v>
      </c>
      <c r="B9" s="85"/>
      <c r="C9" s="85"/>
      <c r="D9" s="22">
        <v>8290</v>
      </c>
      <c r="E9" s="84">
        <f t="shared" si="0"/>
        <v>41.80579399141631</v>
      </c>
      <c r="F9" s="85"/>
      <c r="G9" s="28"/>
      <c r="H9" s="28"/>
      <c r="I9" s="28"/>
      <c r="J9" s="32"/>
    </row>
    <row r="10" spans="1:9" s="8" customFormat="1" ht="15">
      <c r="A10" s="25"/>
      <c r="B10" s="86">
        <f>SUM(B4:B9)</f>
        <v>69</v>
      </c>
      <c r="C10" s="86"/>
      <c r="D10" s="86">
        <f>SUM(D4:D9)</f>
        <v>13980</v>
      </c>
      <c r="E10" s="1">
        <v>70.5</v>
      </c>
      <c r="F10" s="113">
        <f>E10/D10*1000</f>
        <v>5.042918454935623</v>
      </c>
      <c r="G10" s="28"/>
      <c r="H10" s="28"/>
      <c r="I10" s="28"/>
    </row>
    <row r="12" ht="45" customHeight="1">
      <c r="A12" s="130" t="s">
        <v>486</v>
      </c>
    </row>
    <row r="13" spans="1:2" ht="31.5">
      <c r="A13" s="133" t="s">
        <v>703</v>
      </c>
      <c r="B13" s="134" t="s">
        <v>707</v>
      </c>
    </row>
    <row r="14" spans="1:2" ht="31.5">
      <c r="A14" s="133" t="s">
        <v>548</v>
      </c>
      <c r="B14" s="134" t="s">
        <v>708</v>
      </c>
    </row>
    <row r="15" spans="1:2" ht="31.5">
      <c r="A15" s="133" t="s">
        <v>418</v>
      </c>
      <c r="B15" s="135" t="s">
        <v>456</v>
      </c>
    </row>
    <row r="16" spans="1:2" ht="31.5">
      <c r="A16" s="133" t="s">
        <v>709</v>
      </c>
      <c r="B16" s="134" t="s">
        <v>710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205</v>
      </c>
      <c r="B1" s="10">
        <v>42251</v>
      </c>
      <c r="C1" s="10"/>
      <c r="D1" s="10"/>
      <c r="E1" s="10"/>
      <c r="F1" s="11" t="s">
        <v>206</v>
      </c>
      <c r="G1" s="106">
        <v>78.83</v>
      </c>
      <c r="H1" s="8" t="s">
        <v>207</v>
      </c>
    </row>
    <row r="2" s="8" customFormat="1" ht="23.25" customHeight="1">
      <c r="A2" s="33" t="s">
        <v>713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418</v>
      </c>
      <c r="B4" s="22">
        <v>133.58</v>
      </c>
      <c r="C4" s="22">
        <f aca="true" t="shared" si="0" ref="C4:C14">B4*0.1</f>
        <v>13.358000000000002</v>
      </c>
      <c r="D4" s="22">
        <v>1650</v>
      </c>
      <c r="E4" s="84">
        <f aca="true" t="shared" si="1" ref="E4:E15">D4/$D$16*$E$16</f>
        <v>8.678029912325941</v>
      </c>
      <c r="F4" s="84">
        <f aca="true" t="shared" si="2" ref="F4:F14">B4+E4+C4</f>
        <v>155.61602991232596</v>
      </c>
      <c r="G4" s="19">
        <f aca="true" t="shared" si="3" ref="G4:G14">F4*$G$1</f>
        <v>12267.211637988656</v>
      </c>
      <c r="H4" s="21">
        <v>12018</v>
      </c>
      <c r="I4" s="21">
        <f aca="true" t="shared" si="4" ref="I4:I14">H4-G4</f>
        <v>-249.21163798865564</v>
      </c>
    </row>
    <row r="5" spans="1:9" s="15" customFormat="1" ht="15">
      <c r="A5" s="103" t="s">
        <v>548</v>
      </c>
      <c r="B5" s="22">
        <v>14.08</v>
      </c>
      <c r="C5" s="22">
        <f t="shared" si="0"/>
        <v>1.4080000000000001</v>
      </c>
      <c r="D5" s="22">
        <v>60</v>
      </c>
      <c r="E5" s="84">
        <f t="shared" si="1"/>
        <v>0.3155647240845797</v>
      </c>
      <c r="F5" s="84">
        <f t="shared" si="2"/>
        <v>15.803564724084579</v>
      </c>
      <c r="G5" s="19">
        <f t="shared" si="3"/>
        <v>1245.7950071995874</v>
      </c>
      <c r="H5" s="21">
        <f>1216+29</f>
        <v>1245</v>
      </c>
      <c r="I5" s="21">
        <f t="shared" si="4"/>
        <v>-0.7950071995874168</v>
      </c>
    </row>
    <row r="6" spans="1:9" s="8" customFormat="1" ht="15">
      <c r="A6" s="104" t="s">
        <v>109</v>
      </c>
      <c r="B6" s="22">
        <v>6.58</v>
      </c>
      <c r="C6" s="22">
        <f t="shared" si="0"/>
        <v>0.658</v>
      </c>
      <c r="D6" s="22">
        <v>65</v>
      </c>
      <c r="E6" s="84">
        <f t="shared" si="1"/>
        <v>0.34186178442496135</v>
      </c>
      <c r="F6" s="84">
        <f t="shared" si="2"/>
        <v>7.579861784424962</v>
      </c>
      <c r="G6" s="19">
        <f t="shared" si="3"/>
        <v>597.5205044662197</v>
      </c>
      <c r="H6" s="21">
        <f>583+14</f>
        <v>597</v>
      </c>
      <c r="I6" s="21">
        <f t="shared" si="4"/>
        <v>-0.5205044662196769</v>
      </c>
    </row>
    <row r="7" spans="1:9" s="15" customFormat="1" ht="15">
      <c r="A7" s="103" t="s">
        <v>714</v>
      </c>
      <c r="B7" s="22">
        <v>13.25</v>
      </c>
      <c r="C7" s="22">
        <f t="shared" si="0"/>
        <v>1.3250000000000002</v>
      </c>
      <c r="D7" s="22">
        <v>120</v>
      </c>
      <c r="E7" s="84">
        <f>D7/$D$16*$E$16</f>
        <v>0.6311294481691594</v>
      </c>
      <c r="F7" s="84">
        <f t="shared" si="2"/>
        <v>15.206129448169161</v>
      </c>
      <c r="G7" s="19">
        <f>F7*$G$1+38</f>
        <v>1236.699184399175</v>
      </c>
      <c r="H7" s="21">
        <f>1158+38+38</f>
        <v>1234</v>
      </c>
      <c r="I7" s="21">
        <f t="shared" si="4"/>
        <v>-2.69918439917501</v>
      </c>
    </row>
    <row r="8" spans="1:9" s="15" customFormat="1" ht="15">
      <c r="A8" s="103" t="s">
        <v>715</v>
      </c>
      <c r="B8" s="22">
        <v>47.77</v>
      </c>
      <c r="C8" s="22">
        <f t="shared" si="0"/>
        <v>4.777</v>
      </c>
      <c r="D8" s="22">
        <v>690</v>
      </c>
      <c r="E8" s="84">
        <f>D8/$D$16*$E$16</f>
        <v>3.6289943269726668</v>
      </c>
      <c r="F8" s="84">
        <f t="shared" si="2"/>
        <v>56.17599432697267</v>
      </c>
      <c r="G8" s="19">
        <f t="shared" si="3"/>
        <v>4428.353632795255</v>
      </c>
      <c r="H8" s="21">
        <f>4340+88</f>
        <v>4428</v>
      </c>
      <c r="I8" s="21">
        <f t="shared" si="4"/>
        <v>-0.3536327952551801</v>
      </c>
    </row>
    <row r="9" spans="1:9" s="8" customFormat="1" ht="15">
      <c r="A9" s="104" t="s">
        <v>145</v>
      </c>
      <c r="B9" s="22">
        <v>21.33</v>
      </c>
      <c r="C9" s="22">
        <f t="shared" si="0"/>
        <v>2.133</v>
      </c>
      <c r="D9" s="22">
        <v>220</v>
      </c>
      <c r="E9" s="84">
        <f>D9/$D$16*$E$16</f>
        <v>1.1570706549767922</v>
      </c>
      <c r="F9" s="84">
        <f t="shared" si="2"/>
        <v>24.62007065497679</v>
      </c>
      <c r="G9" s="19">
        <f t="shared" si="3"/>
        <v>1940.8001697318202</v>
      </c>
      <c r="H9" s="21">
        <f>1872+69</f>
        <v>1941</v>
      </c>
      <c r="I9" s="21">
        <f t="shared" si="4"/>
        <v>0.1998302681797668</v>
      </c>
    </row>
    <row r="10" spans="1:9" s="8" customFormat="1" ht="15">
      <c r="A10" s="103" t="s">
        <v>127</v>
      </c>
      <c r="B10" s="22">
        <v>10.88</v>
      </c>
      <c r="C10" s="22">
        <f t="shared" si="0"/>
        <v>1.088</v>
      </c>
      <c r="D10" s="22">
        <v>65</v>
      </c>
      <c r="E10" s="84">
        <f t="shared" si="1"/>
        <v>0.34186178442496135</v>
      </c>
      <c r="F10" s="84">
        <f t="shared" si="2"/>
        <v>12.309861784424964</v>
      </c>
      <c r="G10" s="19">
        <f t="shared" si="3"/>
        <v>970.3864044662199</v>
      </c>
      <c r="H10" s="21">
        <f>948+23</f>
        <v>971</v>
      </c>
      <c r="I10" s="21">
        <f t="shared" si="4"/>
        <v>0.6135955337800851</v>
      </c>
    </row>
    <row r="11" spans="1:10" s="8" customFormat="1" ht="15">
      <c r="A11" s="103" t="s">
        <v>694</v>
      </c>
      <c r="B11" s="22">
        <v>9.58</v>
      </c>
      <c r="C11" s="22">
        <f t="shared" si="0"/>
        <v>0.9580000000000001</v>
      </c>
      <c r="D11" s="22">
        <v>60</v>
      </c>
      <c r="E11" s="84">
        <f t="shared" si="1"/>
        <v>0.3155647240845797</v>
      </c>
      <c r="F11" s="84">
        <f t="shared" si="2"/>
        <v>10.85356472408458</v>
      </c>
      <c r="G11" s="19">
        <f t="shared" si="3"/>
        <v>855.5865071995873</v>
      </c>
      <c r="H11" s="21">
        <f>838+18</f>
        <v>856</v>
      </c>
      <c r="I11" s="21">
        <f t="shared" si="4"/>
        <v>0.413492800412655</v>
      </c>
      <c r="J11" s="131"/>
    </row>
    <row r="12" spans="1:10" s="8" customFormat="1" ht="15">
      <c r="A12" s="104" t="s">
        <v>556</v>
      </c>
      <c r="B12" s="22">
        <v>8.25</v>
      </c>
      <c r="C12" s="22">
        <f t="shared" si="0"/>
        <v>0.8250000000000001</v>
      </c>
      <c r="D12" s="22">
        <v>60</v>
      </c>
      <c r="E12" s="84">
        <f t="shared" si="1"/>
        <v>0.3155647240845797</v>
      </c>
      <c r="F12" s="84">
        <f t="shared" si="2"/>
        <v>9.390564724084578</v>
      </c>
      <c r="G12" s="19">
        <f t="shared" si="3"/>
        <v>740.2582171995873</v>
      </c>
      <c r="H12" s="21">
        <f>725+15</f>
        <v>740</v>
      </c>
      <c r="I12" s="21">
        <f t="shared" si="4"/>
        <v>-0.2582171995873068</v>
      </c>
      <c r="J12" s="131"/>
    </row>
    <row r="13" spans="1:10" s="8" customFormat="1" ht="15">
      <c r="A13" s="104" t="s">
        <v>453</v>
      </c>
      <c r="B13" s="22">
        <v>10.88</v>
      </c>
      <c r="C13" s="22">
        <f t="shared" si="0"/>
        <v>1.088</v>
      </c>
      <c r="D13" s="22">
        <v>65</v>
      </c>
      <c r="E13" s="84">
        <f t="shared" si="1"/>
        <v>0.34186178442496135</v>
      </c>
      <c r="F13" s="84">
        <f t="shared" si="2"/>
        <v>12.309861784424964</v>
      </c>
      <c r="G13" s="19">
        <f t="shared" si="3"/>
        <v>970.3864044662199</v>
      </c>
      <c r="H13" s="21">
        <v>948</v>
      </c>
      <c r="I13" s="21">
        <f t="shared" si="4"/>
        <v>-22.386404466219915</v>
      </c>
      <c r="J13" s="131"/>
    </row>
    <row r="14" spans="1:10" s="8" customFormat="1" ht="15">
      <c r="A14" t="s">
        <v>560</v>
      </c>
      <c r="B14" s="22">
        <v>32.38</v>
      </c>
      <c r="C14" s="22">
        <f t="shared" si="0"/>
        <v>3.2380000000000004</v>
      </c>
      <c r="D14" s="22">
        <v>650</v>
      </c>
      <c r="E14" s="84">
        <f>D14/$D$16*$E$16</f>
        <v>3.418617844249613</v>
      </c>
      <c r="F14" s="84">
        <f t="shared" si="2"/>
        <v>39.03661784424961</v>
      </c>
      <c r="G14" s="19">
        <f t="shared" si="3"/>
        <v>3077.256584662197</v>
      </c>
      <c r="H14" s="21">
        <v>3013</v>
      </c>
      <c r="I14" s="21">
        <f t="shared" si="4"/>
        <v>-64.25658466219693</v>
      </c>
      <c r="J14" s="131"/>
    </row>
    <row r="15" spans="1:10" s="8" customFormat="1" ht="15">
      <c r="A15" s="104" t="s">
        <v>224</v>
      </c>
      <c r="B15" s="85"/>
      <c r="C15" s="85"/>
      <c r="D15" s="22">
        <v>5990</v>
      </c>
      <c r="E15" s="84">
        <f t="shared" si="1"/>
        <v>31.50387828777721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308.56</v>
      </c>
      <c r="C16" s="86"/>
      <c r="D16" s="86">
        <f>SUM(D4:D15)</f>
        <v>9695</v>
      </c>
      <c r="E16" s="1">
        <v>50.99</v>
      </c>
      <c r="F16" s="113">
        <f>E16/D16*1000</f>
        <v>5.259412068076328</v>
      </c>
      <c r="G16" s="28"/>
      <c r="H16" s="28"/>
      <c r="I16" s="28"/>
    </row>
    <row r="18" ht="21">
      <c r="A18" s="130" t="s">
        <v>712</v>
      </c>
    </row>
    <row r="19" ht="21">
      <c r="A19" s="130" t="s">
        <v>698</v>
      </c>
    </row>
    <row r="20" ht="45" customHeight="1">
      <c r="A20" s="130" t="s">
        <v>486</v>
      </c>
    </row>
    <row r="21" spans="1:2" ht="31.5">
      <c r="A21" s="133" t="s">
        <v>418</v>
      </c>
      <c r="B21" s="136" t="s">
        <v>516</v>
      </c>
    </row>
    <row r="22" spans="1:2" ht="31.5">
      <c r="A22" s="133" t="s">
        <v>709</v>
      </c>
      <c r="B22" s="134" t="s">
        <v>710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205</v>
      </c>
      <c r="B1" s="10">
        <v>42258</v>
      </c>
      <c r="C1" s="10"/>
      <c r="D1" s="10"/>
      <c r="E1" s="10"/>
      <c r="F1" s="11" t="s">
        <v>206</v>
      </c>
      <c r="G1" s="106">
        <v>78.3</v>
      </c>
      <c r="H1" s="8" t="s">
        <v>207</v>
      </c>
    </row>
    <row r="2" s="8" customFormat="1" ht="23.25" customHeight="1">
      <c r="A2" s="33" t="s">
        <v>719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155</v>
      </c>
      <c r="B4" s="22">
        <v>8.25</v>
      </c>
      <c r="C4" s="22">
        <f aca="true" t="shared" si="0" ref="C4:C12">B4*0.1</f>
        <v>0.8250000000000001</v>
      </c>
      <c r="D4" s="22">
        <v>1180</v>
      </c>
      <c r="E4" s="84">
        <f aca="true" t="shared" si="1" ref="E4:E13">D4/$D$14*$E$14</f>
        <v>3.488454301075269</v>
      </c>
      <c r="F4" s="84">
        <f aca="true" t="shared" si="2" ref="F4:F12">B4+E4+C4</f>
        <v>12.563454301075268</v>
      </c>
      <c r="G4" s="19">
        <f aca="true" t="shared" si="3" ref="G4:G12">F4*$G$1</f>
        <v>983.7184717741934</v>
      </c>
      <c r="H4" s="21">
        <v>979</v>
      </c>
      <c r="I4" s="21">
        <f aca="true" t="shared" si="4" ref="I4:I12">H4-G4</f>
        <v>-4.718471774193404</v>
      </c>
    </row>
    <row r="5" spans="1:9" s="15" customFormat="1" ht="15">
      <c r="A5" s="103" t="s">
        <v>441</v>
      </c>
      <c r="B5" s="22">
        <v>35.45</v>
      </c>
      <c r="C5" s="22">
        <f t="shared" si="0"/>
        <v>3.5450000000000004</v>
      </c>
      <c r="D5" s="22">
        <v>270</v>
      </c>
      <c r="E5" s="84">
        <f t="shared" si="1"/>
        <v>0.7982056451612904</v>
      </c>
      <c r="F5" s="84">
        <f t="shared" si="2"/>
        <v>39.793205645161294</v>
      </c>
      <c r="G5" s="19">
        <f t="shared" si="3"/>
        <v>3115.808002016129</v>
      </c>
      <c r="H5" s="21">
        <v>3139</v>
      </c>
      <c r="I5" s="21">
        <f t="shared" si="4"/>
        <v>23.191997983870806</v>
      </c>
    </row>
    <row r="6" spans="1:9" s="8" customFormat="1" ht="15">
      <c r="A6" s="104" t="s">
        <v>709</v>
      </c>
      <c r="B6" s="22">
        <v>7.08</v>
      </c>
      <c r="C6" s="22">
        <f t="shared" si="0"/>
        <v>0.7080000000000001</v>
      </c>
      <c r="D6" s="22">
        <v>100</v>
      </c>
      <c r="E6" s="84">
        <f t="shared" si="1"/>
        <v>0.29563172043010755</v>
      </c>
      <c r="F6" s="84">
        <f t="shared" si="2"/>
        <v>8.083631720430107</v>
      </c>
      <c r="G6" s="19">
        <f t="shared" si="3"/>
        <v>632.9483637096773</v>
      </c>
      <c r="H6" s="21">
        <v>641</v>
      </c>
      <c r="I6" s="21">
        <f t="shared" si="4"/>
        <v>8.051636290322676</v>
      </c>
    </row>
    <row r="7" spans="1:9" s="15" customFormat="1" ht="15">
      <c r="A7" s="103" t="s">
        <v>548</v>
      </c>
      <c r="B7" s="22">
        <v>26.91</v>
      </c>
      <c r="C7" s="22">
        <f t="shared" si="0"/>
        <v>2.6910000000000003</v>
      </c>
      <c r="D7" s="22">
        <v>140</v>
      </c>
      <c r="E7" s="84">
        <f t="shared" si="1"/>
        <v>0.4138844086021506</v>
      </c>
      <c r="F7" s="84">
        <f t="shared" si="2"/>
        <v>30.01488440860215</v>
      </c>
      <c r="G7" s="19">
        <f t="shared" si="3"/>
        <v>2350.1654491935483</v>
      </c>
      <c r="H7" s="21">
        <v>2365</v>
      </c>
      <c r="I7" s="21">
        <f t="shared" si="4"/>
        <v>14.834550806451716</v>
      </c>
    </row>
    <row r="8" spans="1:9" s="15" customFormat="1" ht="15">
      <c r="A8" s="103" t="s">
        <v>409</v>
      </c>
      <c r="B8" s="22">
        <v>86.83</v>
      </c>
      <c r="C8" s="22">
        <f t="shared" si="0"/>
        <v>8.683</v>
      </c>
      <c r="D8" s="22">
        <v>1725</v>
      </c>
      <c r="E8" s="84">
        <f t="shared" si="1"/>
        <v>5.099647177419355</v>
      </c>
      <c r="F8" s="84">
        <f t="shared" si="2"/>
        <v>100.61264717741935</v>
      </c>
      <c r="G8" s="19">
        <f t="shared" si="3"/>
        <v>7877.970273991935</v>
      </c>
      <c r="H8" s="21">
        <v>7878</v>
      </c>
      <c r="I8" s="21">
        <f t="shared" si="4"/>
        <v>0.02972600806515402</v>
      </c>
    </row>
    <row r="9" spans="1:9" s="8" customFormat="1" ht="15">
      <c r="A9" s="104" t="s">
        <v>418</v>
      </c>
      <c r="B9" s="22">
        <v>53.84</v>
      </c>
      <c r="C9" s="22">
        <f t="shared" si="0"/>
        <v>5.384</v>
      </c>
      <c r="D9" s="22">
        <v>1480</v>
      </c>
      <c r="E9" s="84">
        <f t="shared" si="1"/>
        <v>4.375349462365591</v>
      </c>
      <c r="F9" s="84">
        <f t="shared" si="2"/>
        <v>63.599349462365595</v>
      </c>
      <c r="G9" s="19">
        <f t="shared" si="3"/>
        <v>4979.829062903226</v>
      </c>
      <c r="H9" s="21">
        <v>5252</v>
      </c>
      <c r="I9" s="21">
        <f t="shared" si="4"/>
        <v>272.17093709677374</v>
      </c>
    </row>
    <row r="10" spans="1:9" s="8" customFormat="1" ht="15">
      <c r="A10" s="103" t="s">
        <v>645</v>
      </c>
      <c r="B10" s="22">
        <v>16.23</v>
      </c>
      <c r="C10" s="22">
        <f t="shared" si="0"/>
        <v>1.6230000000000002</v>
      </c>
      <c r="D10" s="22">
        <v>1265</v>
      </c>
      <c r="E10" s="84">
        <f t="shared" si="1"/>
        <v>3.73974126344086</v>
      </c>
      <c r="F10" s="84">
        <f t="shared" si="2"/>
        <v>21.59274126344086</v>
      </c>
      <c r="G10" s="19">
        <f t="shared" si="3"/>
        <v>1690.7116409274192</v>
      </c>
      <c r="H10" s="21">
        <v>1712</v>
      </c>
      <c r="I10" s="21">
        <f t="shared" si="4"/>
        <v>21.28835907258076</v>
      </c>
    </row>
    <row r="11" spans="1:10" s="8" customFormat="1" ht="15">
      <c r="A11" s="104" t="s">
        <v>720</v>
      </c>
      <c r="B11" s="22">
        <v>20</v>
      </c>
      <c r="C11" s="22">
        <f>B11*0.1</f>
        <v>2</v>
      </c>
      <c r="D11" s="22">
        <v>1140</v>
      </c>
      <c r="E11" s="84">
        <f t="shared" si="1"/>
        <v>3.370201612903226</v>
      </c>
      <c r="F11" s="84">
        <f>B11+E11+C11</f>
        <v>25.370201612903227</v>
      </c>
      <c r="G11" s="19">
        <f>F11*$G$1</f>
        <v>1986.4867862903225</v>
      </c>
      <c r="H11" s="21">
        <f>2000-14</f>
        <v>1986</v>
      </c>
      <c r="I11" s="21">
        <f>H11-G11</f>
        <v>-0.48678629032247045</v>
      </c>
      <c r="J11" s="131" t="s">
        <v>733</v>
      </c>
    </row>
    <row r="12" spans="1:10" s="8" customFormat="1" ht="15">
      <c r="A12" s="103" t="s">
        <v>453</v>
      </c>
      <c r="B12" s="22">
        <v>8.62</v>
      </c>
      <c r="C12" s="22">
        <f t="shared" si="0"/>
        <v>0.862</v>
      </c>
      <c r="D12" s="22">
        <v>240</v>
      </c>
      <c r="E12" s="84">
        <f t="shared" si="1"/>
        <v>0.709516129032258</v>
      </c>
      <c r="F12" s="84">
        <f t="shared" si="2"/>
        <v>10.191516129032257</v>
      </c>
      <c r="G12" s="19">
        <f t="shared" si="3"/>
        <v>797.9957129032257</v>
      </c>
      <c r="H12" s="21">
        <v>802</v>
      </c>
      <c r="I12" s="21">
        <f t="shared" si="4"/>
        <v>4.004287096774306</v>
      </c>
      <c r="J12" s="131"/>
    </row>
    <row r="13" spans="1:10" s="8" customFormat="1" ht="15">
      <c r="A13" s="104" t="s">
        <v>224</v>
      </c>
      <c r="B13" s="85"/>
      <c r="C13" s="85"/>
      <c r="D13" s="22">
        <v>7340</v>
      </c>
      <c r="E13" s="84">
        <f t="shared" si="1"/>
        <v>21.699368279569892</v>
      </c>
      <c r="F13" s="85"/>
      <c r="G13" s="28"/>
      <c r="H13" s="28"/>
      <c r="I13" s="28"/>
      <c r="J13" s="32"/>
    </row>
    <row r="14" spans="1:9" s="8" customFormat="1" ht="15">
      <c r="A14" s="25"/>
      <c r="B14" s="86">
        <f>SUM(B4:B13)</f>
        <v>263.21</v>
      </c>
      <c r="C14" s="86"/>
      <c r="D14" s="86">
        <f>SUM(D4:D13)</f>
        <v>14880</v>
      </c>
      <c r="E14" s="1">
        <v>43.99</v>
      </c>
      <c r="F14" s="113"/>
      <c r="G14" s="28"/>
      <c r="H14" s="28"/>
      <c r="I14" s="28"/>
    </row>
    <row r="16" ht="21">
      <c r="A16" s="130"/>
    </row>
    <row r="17" ht="21">
      <c r="A17" s="13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205</v>
      </c>
      <c r="B1" s="10">
        <v>42268</v>
      </c>
      <c r="C1" s="10"/>
      <c r="D1" s="10"/>
      <c r="E1" s="10"/>
      <c r="F1" s="11" t="s">
        <v>206</v>
      </c>
      <c r="G1" s="106">
        <v>76.47</v>
      </c>
      <c r="H1" s="8" t="s">
        <v>207</v>
      </c>
    </row>
    <row r="2" s="8" customFormat="1" ht="23.25" customHeight="1">
      <c r="A2" s="33" t="s">
        <v>722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723</v>
      </c>
      <c r="B4" s="22">
        <v>23.16</v>
      </c>
      <c r="C4" s="22">
        <f aca="true" t="shared" si="0" ref="C4:C10">B4*0.1</f>
        <v>2.3160000000000003</v>
      </c>
      <c r="D4" s="22">
        <v>2240</v>
      </c>
      <c r="E4" s="84">
        <f aca="true" t="shared" si="1" ref="E4:E12">D4/$D$13*$E$13</f>
        <v>6.823184620964818</v>
      </c>
      <c r="F4" s="84">
        <f aca="true" t="shared" si="2" ref="F4:F10">B4+E4+C4</f>
        <v>32.299184620964816</v>
      </c>
      <c r="G4" s="19">
        <f aca="true" t="shared" si="3" ref="G4:G10">F4*$G$1</f>
        <v>2469.9186479651794</v>
      </c>
      <c r="H4" s="119">
        <f>2471+20</f>
        <v>2491</v>
      </c>
      <c r="I4" s="21">
        <f aca="true" t="shared" si="4" ref="I4:I10">H4-G4</f>
        <v>21.08135203482061</v>
      </c>
    </row>
    <row r="5" spans="1:9" s="15" customFormat="1" ht="15">
      <c r="A5" s="103" t="s">
        <v>529</v>
      </c>
      <c r="B5" s="22">
        <v>10.66</v>
      </c>
      <c r="C5" s="22">
        <f t="shared" si="0"/>
        <v>1.066</v>
      </c>
      <c r="D5" s="22">
        <v>1040</v>
      </c>
      <c r="E5" s="84">
        <f t="shared" si="1"/>
        <v>3.1679071454479506</v>
      </c>
      <c r="F5" s="84">
        <f t="shared" si="2"/>
        <v>14.893907145447951</v>
      </c>
      <c r="G5" s="19">
        <f t="shared" si="3"/>
        <v>1138.9370794124047</v>
      </c>
      <c r="H5" s="119">
        <v>1180</v>
      </c>
      <c r="I5" s="21">
        <f t="shared" si="4"/>
        <v>41.06292058759527</v>
      </c>
    </row>
    <row r="6" spans="1:9" s="8" customFormat="1" ht="15">
      <c r="A6" s="104" t="s">
        <v>479</v>
      </c>
      <c r="B6" s="22">
        <v>14.84</v>
      </c>
      <c r="C6" s="22">
        <f t="shared" si="0"/>
        <v>1.484</v>
      </c>
      <c r="D6" s="22">
        <v>500</v>
      </c>
      <c r="E6" s="84">
        <f t="shared" si="1"/>
        <v>1.523032281465361</v>
      </c>
      <c r="F6" s="84">
        <f t="shared" si="2"/>
        <v>17.84703228146536</v>
      </c>
      <c r="G6" s="19">
        <f t="shared" si="3"/>
        <v>1364.762558563656</v>
      </c>
      <c r="H6" s="119">
        <v>1364</v>
      </c>
      <c r="I6" s="21">
        <f t="shared" si="4"/>
        <v>-0.7625585636560572</v>
      </c>
    </row>
    <row r="7" spans="1:9" s="15" customFormat="1" ht="15">
      <c r="A7" s="103" t="s">
        <v>724</v>
      </c>
      <c r="B7" s="22">
        <v>22.33</v>
      </c>
      <c r="C7" s="22">
        <f t="shared" si="0"/>
        <v>2.233</v>
      </c>
      <c r="D7" s="22">
        <v>975</v>
      </c>
      <c r="E7" s="84">
        <f t="shared" si="1"/>
        <v>2.9699129488574543</v>
      </c>
      <c r="F7" s="84">
        <f t="shared" si="2"/>
        <v>27.532912948857454</v>
      </c>
      <c r="G7" s="19">
        <f t="shared" si="3"/>
        <v>2105.4418531991296</v>
      </c>
      <c r="H7" s="119">
        <v>2109</v>
      </c>
      <c r="I7" s="21">
        <f t="shared" si="4"/>
        <v>3.558146800870418</v>
      </c>
    </row>
    <row r="8" spans="1:9" s="15" customFormat="1" ht="15">
      <c r="A8" s="103" t="s">
        <v>173</v>
      </c>
      <c r="B8" s="22">
        <v>8.25</v>
      </c>
      <c r="C8" s="22">
        <f t="shared" si="0"/>
        <v>0.8250000000000001</v>
      </c>
      <c r="D8" s="22">
        <v>230</v>
      </c>
      <c r="E8" s="84">
        <f t="shared" si="1"/>
        <v>0.7005948494740661</v>
      </c>
      <c r="F8" s="84">
        <f t="shared" si="2"/>
        <v>9.775594849474066</v>
      </c>
      <c r="G8" s="19">
        <f t="shared" si="3"/>
        <v>747.5397381392818</v>
      </c>
      <c r="H8" s="119">
        <v>755</v>
      </c>
      <c r="I8" s="21">
        <f t="shared" si="4"/>
        <v>7.460261860718219</v>
      </c>
    </row>
    <row r="9" spans="1:9" s="8" customFormat="1" ht="15">
      <c r="A9" s="104" t="s">
        <v>38</v>
      </c>
      <c r="B9" s="22">
        <v>5.42</v>
      </c>
      <c r="C9" s="22">
        <f t="shared" si="0"/>
        <v>0.542</v>
      </c>
      <c r="D9" s="22">
        <v>60</v>
      </c>
      <c r="E9" s="84">
        <f t="shared" si="1"/>
        <v>0.18276387377584333</v>
      </c>
      <c r="F9" s="84">
        <f t="shared" si="2"/>
        <v>6.144763873775843</v>
      </c>
      <c r="G9" s="19">
        <f t="shared" si="3"/>
        <v>469.8900934276387</v>
      </c>
      <c r="H9" s="119">
        <v>472</v>
      </c>
      <c r="I9" s="21">
        <f t="shared" si="4"/>
        <v>2.1099065723612966</v>
      </c>
    </row>
    <row r="10" spans="1:9" s="8" customFormat="1" ht="15">
      <c r="A10" s="103" t="s">
        <v>102</v>
      </c>
      <c r="B10" s="22">
        <v>9.15</v>
      </c>
      <c r="C10" s="22">
        <f t="shared" si="0"/>
        <v>0.915</v>
      </c>
      <c r="D10" s="22">
        <v>1150</v>
      </c>
      <c r="E10" s="84">
        <f t="shared" si="1"/>
        <v>3.50297424737033</v>
      </c>
      <c r="F10" s="84">
        <f t="shared" si="2"/>
        <v>13.56797424737033</v>
      </c>
      <c r="G10" s="19">
        <f t="shared" si="3"/>
        <v>1037.542990696409</v>
      </c>
      <c r="H10" s="119">
        <v>833</v>
      </c>
      <c r="I10" s="21">
        <f t="shared" si="4"/>
        <v>-204.5429906964091</v>
      </c>
    </row>
    <row r="11" spans="1:10" s="8" customFormat="1" ht="15">
      <c r="A11" s="104" t="s">
        <v>145</v>
      </c>
      <c r="B11" s="22">
        <v>6.25</v>
      </c>
      <c r="C11" s="22">
        <f>B11*0.1</f>
        <v>0.625</v>
      </c>
      <c r="D11" s="22">
        <v>140</v>
      </c>
      <c r="E11" s="84">
        <f t="shared" si="1"/>
        <v>0.4264490388103011</v>
      </c>
      <c r="F11" s="84">
        <f>B11+E11+C11</f>
        <v>7.3014490388103015</v>
      </c>
      <c r="G11" s="19">
        <f>F11*$G$1</f>
        <v>558.3418079978237</v>
      </c>
      <c r="H11" s="119">
        <v>561</v>
      </c>
      <c r="I11" s="21">
        <f>H11-G11</f>
        <v>2.6581920021762926</v>
      </c>
      <c r="J11" s="131"/>
    </row>
    <row r="12" spans="1:10" s="8" customFormat="1" ht="15">
      <c r="A12" s="104" t="s">
        <v>224</v>
      </c>
      <c r="B12" s="85"/>
      <c r="C12" s="85"/>
      <c r="D12" s="22">
        <v>7450</v>
      </c>
      <c r="E12" s="84">
        <f t="shared" si="1"/>
        <v>22.693180993833877</v>
      </c>
      <c r="F12" s="85"/>
      <c r="G12" s="28"/>
      <c r="H12" s="28"/>
      <c r="I12" s="28"/>
      <c r="J12" s="32"/>
    </row>
    <row r="13" spans="1:9" s="8" customFormat="1" ht="15">
      <c r="A13" s="25"/>
      <c r="B13" s="86">
        <f>SUM(B4:B12)</f>
        <v>100.06</v>
      </c>
      <c r="C13" s="86"/>
      <c r="D13" s="86">
        <f>SUM(D4:D12)</f>
        <v>13785</v>
      </c>
      <c r="E13" s="1">
        <v>41.99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8" customFormat="1" ht="21">
      <c r="A1" s="9" t="s">
        <v>205</v>
      </c>
      <c r="B1" s="10">
        <v>41285</v>
      </c>
      <c r="C1" s="10"/>
      <c r="D1" s="11" t="s">
        <v>206</v>
      </c>
      <c r="E1" s="12">
        <v>41.13</v>
      </c>
      <c r="F1" s="8" t="s">
        <v>207</v>
      </c>
    </row>
    <row r="2" s="8" customFormat="1" ht="23.25" customHeight="1">
      <c r="A2" s="33" t="s">
        <v>233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224</v>
      </c>
      <c r="B4" s="16">
        <v>35.8</v>
      </c>
      <c r="C4" s="16">
        <f aca="true" t="shared" si="0" ref="C4:C10">B4*0.95</f>
        <v>34.01</v>
      </c>
      <c r="D4" s="16">
        <f aca="true" t="shared" si="1" ref="D4:D10">B4/$B$11*$D$11</f>
        <v>2.2782299837205864</v>
      </c>
      <c r="E4" s="40"/>
      <c r="F4" s="28"/>
      <c r="G4" s="41"/>
      <c r="H4" s="42"/>
      <c r="I4" s="43"/>
    </row>
    <row r="5" spans="1:9" s="8" customFormat="1" ht="15">
      <c r="A5" s="4" t="s">
        <v>51</v>
      </c>
      <c r="B5" s="16">
        <v>27.8</v>
      </c>
      <c r="C5" s="16">
        <f t="shared" si="0"/>
        <v>26.41</v>
      </c>
      <c r="D5" s="16">
        <f t="shared" si="1"/>
        <v>1.7691283113807905</v>
      </c>
      <c r="E5" s="17">
        <f aca="true" t="shared" si="2" ref="E5:E10">(C5+D5)*$E$1</f>
        <v>1159.007547447092</v>
      </c>
      <c r="F5" s="18"/>
      <c r="G5" s="19">
        <f aca="true" t="shared" si="3" ref="G5:G10">E5-F5</f>
        <v>1159.007547447092</v>
      </c>
      <c r="H5" s="22">
        <v>1128</v>
      </c>
      <c r="I5" s="21">
        <f>H5-G5+F5</f>
        <v>-31.007547447092065</v>
      </c>
    </row>
    <row r="6" spans="1:10" s="8" customFormat="1" ht="15">
      <c r="A6" s="4" t="s">
        <v>96</v>
      </c>
      <c r="B6" s="16">
        <v>130.29999999999998</v>
      </c>
      <c r="C6" s="16">
        <f t="shared" si="0"/>
        <v>123.78499999999998</v>
      </c>
      <c r="D6" s="16">
        <f t="shared" si="1"/>
        <v>8.291993488234423</v>
      </c>
      <c r="E6" s="17">
        <f t="shared" si="2"/>
        <v>5432.326742171081</v>
      </c>
      <c r="F6" s="18"/>
      <c r="G6" s="19">
        <f t="shared" si="3"/>
        <v>5432.326742171081</v>
      </c>
      <c r="H6" s="22">
        <f>5900-219-249</f>
        <v>5432</v>
      </c>
      <c r="I6" s="21">
        <f>H6-G6+F6</f>
        <v>-0.3267421710806957</v>
      </c>
      <c r="J6" s="8" t="s">
        <v>234</v>
      </c>
    </row>
    <row r="7" spans="1:9" s="8" customFormat="1" ht="15">
      <c r="A7" s="4" t="s">
        <v>61</v>
      </c>
      <c r="B7" s="16">
        <v>58.3</v>
      </c>
      <c r="C7" s="16">
        <f t="shared" si="0"/>
        <v>55.385</v>
      </c>
      <c r="D7" s="16">
        <f>B7/$B$11*$D$11</f>
        <v>3.7100784371762616</v>
      </c>
      <c r="E7" s="17">
        <f t="shared" si="2"/>
        <v>2430.58057612106</v>
      </c>
      <c r="F7" s="18"/>
      <c r="G7" s="19">
        <f t="shared" si="3"/>
        <v>2430.58057612106</v>
      </c>
      <c r="H7" s="22">
        <v>2286</v>
      </c>
      <c r="I7" s="21">
        <f>H7-G7+F7</f>
        <v>-144.58057612105995</v>
      </c>
    </row>
    <row r="8" spans="1:9" s="8" customFormat="1" ht="15">
      <c r="A8" s="4" t="s">
        <v>201</v>
      </c>
      <c r="B8" s="16">
        <v>64.64999999999999</v>
      </c>
      <c r="C8" s="16">
        <f t="shared" si="0"/>
        <v>61.41749999999999</v>
      </c>
      <c r="D8" s="16">
        <f t="shared" si="1"/>
        <v>4.114177889595974</v>
      </c>
      <c r="E8" s="17">
        <f t="shared" si="2"/>
        <v>2695.3179115990824</v>
      </c>
      <c r="F8" s="18"/>
      <c r="G8" s="19">
        <f t="shared" si="3"/>
        <v>2695.3179115990824</v>
      </c>
      <c r="H8" s="22">
        <v>2624</v>
      </c>
      <c r="I8" s="21">
        <f>H8-G8+F8</f>
        <v>-71.31791159908244</v>
      </c>
    </row>
    <row r="9" spans="1:10" s="8" customFormat="1" ht="15">
      <c r="A9" s="4" t="s">
        <v>53</v>
      </c>
      <c r="B9" s="16">
        <v>11.5</v>
      </c>
      <c r="C9" s="16">
        <f t="shared" si="0"/>
        <v>10.924999999999999</v>
      </c>
      <c r="D9" s="16">
        <f t="shared" si="1"/>
        <v>0.7318336539884565</v>
      </c>
      <c r="E9" s="17">
        <f t="shared" si="2"/>
        <v>479.44556818854517</v>
      </c>
      <c r="F9" s="18"/>
      <c r="G9" s="19">
        <f t="shared" si="3"/>
        <v>479.44556818854517</v>
      </c>
      <c r="H9" s="22">
        <v>467</v>
      </c>
      <c r="I9" s="21">
        <f>H9-G9</f>
        <v>-12.445568188545167</v>
      </c>
      <c r="J9" s="33"/>
    </row>
    <row r="10" spans="1:10" s="8" customFormat="1" ht="15">
      <c r="A10" s="4" t="s">
        <v>15</v>
      </c>
      <c r="B10" s="16">
        <v>9.5</v>
      </c>
      <c r="C10" s="16">
        <f t="shared" si="0"/>
        <v>9.025</v>
      </c>
      <c r="D10" s="16">
        <f t="shared" si="1"/>
        <v>0.6045582359035075</v>
      </c>
      <c r="E10" s="17">
        <f t="shared" si="2"/>
        <v>396.0637302427113</v>
      </c>
      <c r="F10" s="18"/>
      <c r="G10" s="19">
        <f t="shared" si="3"/>
        <v>396.0637302427113</v>
      </c>
      <c r="H10" s="22">
        <v>386</v>
      </c>
      <c r="I10" s="21">
        <f>H10-G10</f>
        <v>-10.063730242711301</v>
      </c>
      <c r="J10" s="33"/>
    </row>
    <row r="11" spans="1:9" s="8" customFormat="1" ht="15">
      <c r="A11" s="25"/>
      <c r="B11" s="26">
        <f>SUM(B4:B10)</f>
        <v>337.84999999999997</v>
      </c>
      <c r="C11" s="26">
        <f>SUM(C4:C10)</f>
        <v>320.9574999999999</v>
      </c>
      <c r="D11" s="26">
        <v>21.5</v>
      </c>
      <c r="E11" s="27"/>
      <c r="F11" s="28"/>
      <c r="G11" s="28"/>
      <c r="H11" s="28"/>
      <c r="I11" s="28"/>
    </row>
    <row r="13" ht="23.25">
      <c r="A13" s="30"/>
    </row>
    <row r="14" ht="1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42278</v>
      </c>
      <c r="C1" s="10"/>
      <c r="D1" s="10"/>
      <c r="E1" s="10"/>
      <c r="F1" s="11" t="s">
        <v>206</v>
      </c>
      <c r="G1" s="106">
        <v>76.51</v>
      </c>
      <c r="H1" s="8" t="s">
        <v>207</v>
      </c>
    </row>
    <row r="2" s="8" customFormat="1" ht="23.25" customHeight="1">
      <c r="A2" s="33" t="s">
        <v>727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589</v>
      </c>
      <c r="B4" s="22">
        <v>38.04</v>
      </c>
      <c r="C4" s="22">
        <f aca="true" t="shared" si="0" ref="C4:C10">B4*0.1</f>
        <v>3.8040000000000003</v>
      </c>
      <c r="D4" s="22">
        <v>580</v>
      </c>
      <c r="E4" s="84">
        <f aca="true" t="shared" si="1" ref="E4:E14">D4/$D$15*$E$15</f>
        <v>1.8659914813062</v>
      </c>
      <c r="F4" s="84">
        <f aca="true" t="shared" si="2" ref="F4:F10">B4+E4+C4</f>
        <v>43.709991481306204</v>
      </c>
      <c r="G4" s="19">
        <f aca="true" t="shared" si="3" ref="G4:G10">F4*$G$1</f>
        <v>3344.251448234738</v>
      </c>
      <c r="H4" s="119">
        <f>3300+44</f>
        <v>3344</v>
      </c>
      <c r="I4" s="21">
        <f aca="true" t="shared" si="4" ref="I4:I10">H4-G4</f>
        <v>-0.2514482347378362</v>
      </c>
    </row>
    <row r="5" spans="1:9" s="15" customFormat="1" ht="15">
      <c r="A5" s="103" t="s">
        <v>517</v>
      </c>
      <c r="B5" s="22">
        <v>10.75</v>
      </c>
      <c r="C5" s="22">
        <f t="shared" si="0"/>
        <v>1.075</v>
      </c>
      <c r="D5" s="22">
        <v>175</v>
      </c>
      <c r="E5" s="84">
        <f t="shared" si="1"/>
        <v>0.5630146710837671</v>
      </c>
      <c r="F5" s="84">
        <f t="shared" si="2"/>
        <v>12.388014671083766</v>
      </c>
      <c r="G5" s="19">
        <f t="shared" si="3"/>
        <v>947.807002484619</v>
      </c>
      <c r="H5" s="119">
        <v>932</v>
      </c>
      <c r="I5" s="21">
        <f t="shared" si="4"/>
        <v>-15.807002484619034</v>
      </c>
    </row>
    <row r="6" spans="1:9" s="8" customFormat="1" ht="15">
      <c r="A6" s="104" t="s">
        <v>453</v>
      </c>
      <c r="B6" s="22">
        <v>12.42</v>
      </c>
      <c r="C6" s="22">
        <f t="shared" si="0"/>
        <v>1.242</v>
      </c>
      <c r="D6" s="22">
        <v>70</v>
      </c>
      <c r="E6" s="84">
        <f t="shared" si="1"/>
        <v>0.22520586843350687</v>
      </c>
      <c r="F6" s="84">
        <f t="shared" si="2"/>
        <v>13.887205868433508</v>
      </c>
      <c r="G6" s="19">
        <f t="shared" si="3"/>
        <v>1062.5101209938477</v>
      </c>
      <c r="H6" s="119">
        <v>1055</v>
      </c>
      <c r="I6" s="21">
        <f t="shared" si="4"/>
        <v>-7.51012099384775</v>
      </c>
    </row>
    <row r="7" spans="1:9" s="15" customFormat="1" ht="15">
      <c r="A7" s="103" t="s">
        <v>576</v>
      </c>
      <c r="B7" s="22">
        <v>7.27</v>
      </c>
      <c r="C7" s="22">
        <f t="shared" si="0"/>
        <v>0.727</v>
      </c>
      <c r="D7" s="22">
        <v>460</v>
      </c>
      <c r="E7" s="84">
        <f t="shared" si="1"/>
        <v>1.479924278277331</v>
      </c>
      <c r="F7" s="84">
        <f t="shared" si="2"/>
        <v>9.47692427827733</v>
      </c>
      <c r="G7" s="19">
        <f t="shared" si="3"/>
        <v>725.0794765309986</v>
      </c>
      <c r="H7" s="119">
        <f>713+12</f>
        <v>725</v>
      </c>
      <c r="I7" s="21">
        <f t="shared" si="4"/>
        <v>-0.07947653099859053</v>
      </c>
    </row>
    <row r="8" spans="1:9" s="15" customFormat="1" ht="15">
      <c r="A8" s="103" t="s">
        <v>95</v>
      </c>
      <c r="B8" s="22">
        <v>7.42</v>
      </c>
      <c r="C8" s="22">
        <f t="shared" si="0"/>
        <v>0.742</v>
      </c>
      <c r="D8" s="22">
        <v>350</v>
      </c>
      <c r="E8" s="84">
        <f t="shared" si="1"/>
        <v>1.1260293421675343</v>
      </c>
      <c r="F8" s="84">
        <f t="shared" si="2"/>
        <v>9.288029342167533</v>
      </c>
      <c r="G8" s="19">
        <f t="shared" si="3"/>
        <v>710.627124969238</v>
      </c>
      <c r="H8" s="119">
        <f>708+12</f>
        <v>720</v>
      </c>
      <c r="I8" s="21">
        <f t="shared" si="4"/>
        <v>9.372875030761975</v>
      </c>
    </row>
    <row r="9" spans="1:9" s="8" customFormat="1" ht="15">
      <c r="A9" s="104" t="s">
        <v>601</v>
      </c>
      <c r="B9" s="22">
        <v>19.08</v>
      </c>
      <c r="C9" s="22">
        <f t="shared" si="0"/>
        <v>1.908</v>
      </c>
      <c r="D9" s="22">
        <v>1150</v>
      </c>
      <c r="E9" s="84">
        <f t="shared" si="1"/>
        <v>3.699810695693327</v>
      </c>
      <c r="F9" s="84">
        <f t="shared" si="2"/>
        <v>24.687810695693326</v>
      </c>
      <c r="G9" s="19">
        <f t="shared" si="3"/>
        <v>1888.8643963274965</v>
      </c>
      <c r="H9" s="119">
        <f>1858+31</f>
        <v>1889</v>
      </c>
      <c r="I9" s="21">
        <f t="shared" si="4"/>
        <v>0.135603672503521</v>
      </c>
    </row>
    <row r="10" spans="1:9" s="8" customFormat="1" ht="15">
      <c r="A10" s="103" t="s">
        <v>510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1"/>
        <v>0.7399621391386655</v>
      </c>
      <c r="F10" s="84">
        <f t="shared" si="2"/>
        <v>5.227962139138666</v>
      </c>
      <c r="G10" s="19">
        <f t="shared" si="3"/>
        <v>399.99138326549934</v>
      </c>
      <c r="H10" s="119">
        <f>395+6</f>
        <v>401</v>
      </c>
      <c r="I10" s="21">
        <f t="shared" si="4"/>
        <v>1.008616734500663</v>
      </c>
    </row>
    <row r="11" spans="1:9" s="8" customFormat="1" ht="15">
      <c r="A11" s="104" t="s">
        <v>569</v>
      </c>
      <c r="B11" s="22">
        <v>4.08</v>
      </c>
      <c r="C11" s="22">
        <f>B11*0.1</f>
        <v>0.40800000000000003</v>
      </c>
      <c r="D11" s="22">
        <v>230</v>
      </c>
      <c r="E11" s="84">
        <f>D11/$D$15*$E$15</f>
        <v>0.7399621391386655</v>
      </c>
      <c r="F11" s="84">
        <f>B11+E11+C11</f>
        <v>5.227962139138666</v>
      </c>
      <c r="G11" s="19">
        <f>F11*$G$1</f>
        <v>399.99138326549934</v>
      </c>
      <c r="H11" s="119">
        <f>393+7</f>
        <v>400</v>
      </c>
      <c r="I11" s="21">
        <f>H11-G11</f>
        <v>0.008616734500662915</v>
      </c>
    </row>
    <row r="12" spans="1:9" s="8" customFormat="1" ht="15">
      <c r="A12" s="104" t="s">
        <v>730</v>
      </c>
      <c r="B12" s="22">
        <v>21.58</v>
      </c>
      <c r="C12" s="22">
        <f>B12*0.1</f>
        <v>2.158</v>
      </c>
      <c r="D12" s="22">
        <v>1000</v>
      </c>
      <c r="E12" s="84">
        <f>D12/$D$15*$E$15</f>
        <v>3.2172266919072414</v>
      </c>
      <c r="F12" s="84">
        <f>B12+E12+C12</f>
        <v>26.955226691907242</v>
      </c>
      <c r="G12" s="19">
        <f>F12*$G$1</f>
        <v>2062.344394197823</v>
      </c>
      <c r="H12" s="119">
        <v>2062</v>
      </c>
      <c r="I12" s="21">
        <f>H12-G12</f>
        <v>-0.3443941978230214</v>
      </c>
    </row>
    <row r="13" spans="1:10" s="8" customFormat="1" ht="15">
      <c r="A13" s="104" t="s">
        <v>728</v>
      </c>
      <c r="B13" s="22">
        <v>4.08</v>
      </c>
      <c r="C13" s="22">
        <f>B13*0.1</f>
        <v>0.40800000000000003</v>
      </c>
      <c r="D13" s="22">
        <v>230</v>
      </c>
      <c r="E13" s="84">
        <f t="shared" si="1"/>
        <v>0.7399621391386655</v>
      </c>
      <c r="F13" s="84">
        <f>B13+E13+C13</f>
        <v>5.227962139138666</v>
      </c>
      <c r="G13" s="19">
        <f>F13*$G$1</f>
        <v>399.99138326549934</v>
      </c>
      <c r="H13" s="119">
        <v>393</v>
      </c>
      <c r="I13" s="21">
        <f>H13-G13</f>
        <v>-6.991383265499337</v>
      </c>
      <c r="J13" s="131"/>
    </row>
    <row r="14" spans="1:10" s="8" customFormat="1" ht="15">
      <c r="A14" s="104" t="s">
        <v>224</v>
      </c>
      <c r="B14" s="85"/>
      <c r="C14" s="85"/>
      <c r="D14" s="22">
        <v>6090</v>
      </c>
      <c r="E14" s="84">
        <f t="shared" si="1"/>
        <v>19.592910553715097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128.8</v>
      </c>
      <c r="C15" s="86"/>
      <c r="D15" s="86">
        <f>SUM(D4:D14)</f>
        <v>10565</v>
      </c>
      <c r="E15" s="1">
        <v>33.99</v>
      </c>
      <c r="F15" s="113"/>
      <c r="G15" s="28"/>
      <c r="H15" s="28"/>
      <c r="I15" s="28"/>
    </row>
    <row r="23" ht="21">
      <c r="A23" s="130"/>
    </row>
    <row r="24" ht="21">
      <c r="A24" s="13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42287</v>
      </c>
      <c r="C1" s="10"/>
      <c r="D1" s="10"/>
      <c r="E1" s="10"/>
      <c r="F1" s="11" t="s">
        <v>206</v>
      </c>
      <c r="G1" s="106">
        <v>72.7</v>
      </c>
      <c r="H1" s="8" t="s">
        <v>207</v>
      </c>
    </row>
    <row r="2" s="8" customFormat="1" ht="23.25" customHeight="1">
      <c r="A2" s="33" t="s">
        <v>731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517</v>
      </c>
      <c r="B4" s="22">
        <v>16.58</v>
      </c>
      <c r="C4" s="22">
        <f aca="true" t="shared" si="0" ref="C4:C14">B4*0.1</f>
        <v>1.658</v>
      </c>
      <c r="D4" s="22">
        <v>1150</v>
      </c>
      <c r="E4" s="84">
        <f aca="true" t="shared" si="1" ref="E4:E18">D4/$D$19*$E$19</f>
        <v>3.6046617161716172</v>
      </c>
      <c r="F4" s="84">
        <f aca="true" t="shared" si="2" ref="F4:F14">B4+E4+C4</f>
        <v>21.842661716171616</v>
      </c>
      <c r="G4" s="19">
        <f aca="true" t="shared" si="3" ref="G4:G14">F4*$G$1</f>
        <v>1587.9615067656766</v>
      </c>
      <c r="H4" s="119">
        <v>1545</v>
      </c>
      <c r="I4" s="21">
        <f aca="true" t="shared" si="4" ref="I4:I14">H4-G4</f>
        <v>-42.96150676567663</v>
      </c>
    </row>
    <row r="5" spans="1:9" s="15" customFormat="1" ht="15">
      <c r="A5" s="103" t="s">
        <v>565</v>
      </c>
      <c r="B5" s="22">
        <v>9.08</v>
      </c>
      <c r="C5" s="22">
        <f t="shared" si="0"/>
        <v>0.908</v>
      </c>
      <c r="D5" s="22">
        <v>60</v>
      </c>
      <c r="E5" s="84">
        <f t="shared" si="1"/>
        <v>0.18806930693069307</v>
      </c>
      <c r="F5" s="84">
        <f t="shared" si="2"/>
        <v>10.176069306930692</v>
      </c>
      <c r="G5" s="19">
        <f t="shared" si="3"/>
        <v>739.8002386138613</v>
      </c>
      <c r="H5" s="119">
        <v>720</v>
      </c>
      <c r="I5" s="21">
        <f t="shared" si="4"/>
        <v>-19.800238613861325</v>
      </c>
    </row>
    <row r="6" spans="1:9" s="8" customFormat="1" ht="15">
      <c r="A6" s="104" t="s">
        <v>479</v>
      </c>
      <c r="B6" s="22">
        <v>6.66</v>
      </c>
      <c r="C6" s="22">
        <f t="shared" si="0"/>
        <v>0.666</v>
      </c>
      <c r="D6" s="22">
        <v>840</v>
      </c>
      <c r="E6" s="84">
        <f t="shared" si="1"/>
        <v>2.6329702970297033</v>
      </c>
      <c r="F6" s="84">
        <f t="shared" si="2"/>
        <v>9.958970297029705</v>
      </c>
      <c r="G6" s="19">
        <f t="shared" si="3"/>
        <v>724.0171405940596</v>
      </c>
      <c r="H6" s="119">
        <v>704</v>
      </c>
      <c r="I6" s="21">
        <f t="shared" si="4"/>
        <v>-20.017140594059583</v>
      </c>
    </row>
    <row r="7" spans="1:9" s="15" customFormat="1" ht="15">
      <c r="A7" s="103" t="s">
        <v>384</v>
      </c>
      <c r="B7" s="22">
        <v>10.75</v>
      </c>
      <c r="C7" s="22">
        <f t="shared" si="0"/>
        <v>1.075</v>
      </c>
      <c r="D7" s="22">
        <v>440</v>
      </c>
      <c r="E7" s="84">
        <f t="shared" si="1"/>
        <v>1.3791749174917494</v>
      </c>
      <c r="F7" s="84">
        <f t="shared" si="2"/>
        <v>13.204174917491748</v>
      </c>
      <c r="G7" s="19">
        <f t="shared" si="3"/>
        <v>959.9435165016502</v>
      </c>
      <c r="H7" s="119">
        <v>934</v>
      </c>
      <c r="I7" s="21">
        <f t="shared" si="4"/>
        <v>-25.94351650165015</v>
      </c>
    </row>
    <row r="8" spans="1:9" s="15" customFormat="1" ht="15">
      <c r="A8" s="103" t="s">
        <v>416</v>
      </c>
      <c r="B8" s="22">
        <v>10.42</v>
      </c>
      <c r="C8" s="22">
        <f>B8*0.1</f>
        <v>1.042</v>
      </c>
      <c r="D8" s="22">
        <v>60</v>
      </c>
      <c r="E8" s="84">
        <f>D8/$D$19*$E$19</f>
        <v>0.18806930693069307</v>
      </c>
      <c r="F8" s="84">
        <f>B8+E8+C8</f>
        <v>11.650069306930693</v>
      </c>
      <c r="G8" s="19">
        <f>F8*$G$1</f>
        <v>846.9600386138613</v>
      </c>
      <c r="H8" s="132">
        <f>824+40</f>
        <v>864</v>
      </c>
      <c r="I8" s="21">
        <f>H8-G8</f>
        <v>17.039961386138657</v>
      </c>
    </row>
    <row r="9" spans="1:9" s="15" customFormat="1" ht="15">
      <c r="A9" s="103" t="s">
        <v>646</v>
      </c>
      <c r="B9" s="22">
        <v>4.87</v>
      </c>
      <c r="C9" s="22">
        <f>B9*0.1</f>
        <v>0.48700000000000004</v>
      </c>
      <c r="D9" s="22">
        <v>130</v>
      </c>
      <c r="E9" s="84">
        <f>D9/$D$19*$E$19</f>
        <v>0.407483498349835</v>
      </c>
      <c r="F9" s="84">
        <f>B9+E9+C9</f>
        <v>5.764483498349835</v>
      </c>
      <c r="G9" s="19">
        <f>F9*$G$1</f>
        <v>419.07795033003305</v>
      </c>
      <c r="H9" s="119">
        <v>400</v>
      </c>
      <c r="I9" s="21">
        <f>H9-G9</f>
        <v>-19.077950330033048</v>
      </c>
    </row>
    <row r="10" spans="1:9" s="8" customFormat="1" ht="15">
      <c r="A10" s="104" t="s">
        <v>732</v>
      </c>
      <c r="B10" s="22">
        <v>11.9</v>
      </c>
      <c r="C10" s="22">
        <f>B10*0.1</f>
        <v>1.1900000000000002</v>
      </c>
      <c r="D10" s="22">
        <v>550</v>
      </c>
      <c r="E10" s="84">
        <f>D10/$D$19*$E$19</f>
        <v>1.7239686468646866</v>
      </c>
      <c r="F10" s="84">
        <f>B10+E10+C10</f>
        <v>14.813968646864687</v>
      </c>
      <c r="G10" s="19">
        <f>F10*$G$1</f>
        <v>1076.975520627063</v>
      </c>
      <c r="H10" s="119">
        <v>1048</v>
      </c>
      <c r="I10" s="21">
        <f>H10-G10</f>
        <v>-28.975520627062906</v>
      </c>
    </row>
    <row r="11" spans="1:9" s="15" customFormat="1" ht="15">
      <c r="A11" s="103" t="s">
        <v>418</v>
      </c>
      <c r="B11" s="22">
        <v>62.1</v>
      </c>
      <c r="C11" s="22">
        <f>B11*0.1</f>
        <v>6.210000000000001</v>
      </c>
      <c r="D11" s="22">
        <v>550</v>
      </c>
      <c r="E11" s="84">
        <f>D11/$D$19*$E$19</f>
        <v>1.7239686468646866</v>
      </c>
      <c r="F11" s="84">
        <f>B11+E11+C11</f>
        <v>70.03396864686468</v>
      </c>
      <c r="G11" s="19">
        <f>F11*$G$1</f>
        <v>5091.469520627063</v>
      </c>
      <c r="H11" s="119">
        <v>4930</v>
      </c>
      <c r="I11" s="21">
        <f>H11-G11</f>
        <v>-161.4695206270626</v>
      </c>
    </row>
    <row r="12" spans="1:9" s="15" customFormat="1" ht="15">
      <c r="A12" s="103" t="s">
        <v>619</v>
      </c>
      <c r="B12" s="22">
        <v>12.42</v>
      </c>
      <c r="C12" s="22">
        <f t="shared" si="0"/>
        <v>1.242</v>
      </c>
      <c r="D12" s="22">
        <v>440</v>
      </c>
      <c r="E12" s="84">
        <f t="shared" si="1"/>
        <v>1.3791749174917494</v>
      </c>
      <c r="F12" s="84">
        <f t="shared" si="2"/>
        <v>15.041174917491748</v>
      </c>
      <c r="G12" s="19">
        <f t="shared" si="3"/>
        <v>1093.4934165016502</v>
      </c>
      <c r="H12" s="137">
        <v>1064</v>
      </c>
      <c r="I12" s="21">
        <f t="shared" si="4"/>
        <v>-29.493416501650245</v>
      </c>
    </row>
    <row r="13" spans="1:9" s="8" customFormat="1" ht="15">
      <c r="A13" s="104" t="s">
        <v>453</v>
      </c>
      <c r="B13" s="22">
        <v>24.92</v>
      </c>
      <c r="C13" s="22">
        <f t="shared" si="0"/>
        <v>2.4920000000000004</v>
      </c>
      <c r="D13" s="22">
        <v>60</v>
      </c>
      <c r="E13" s="84">
        <f t="shared" si="1"/>
        <v>0.18806930693069307</v>
      </c>
      <c r="F13" s="84">
        <f t="shared" si="2"/>
        <v>27.600069306930695</v>
      </c>
      <c r="G13" s="19">
        <f t="shared" si="3"/>
        <v>2006.5250386138616</v>
      </c>
      <c r="H13" s="119">
        <f>1994+30</f>
        <v>2024</v>
      </c>
      <c r="I13" s="21">
        <f t="shared" si="4"/>
        <v>17.474961386138375</v>
      </c>
    </row>
    <row r="14" spans="1:9" s="8" customFormat="1" ht="15">
      <c r="A14" s="103" t="s">
        <v>126</v>
      </c>
      <c r="B14" s="22">
        <v>3.25</v>
      </c>
      <c r="C14" s="22">
        <f t="shared" si="0"/>
        <v>0.325</v>
      </c>
      <c r="D14" s="22">
        <v>100</v>
      </c>
      <c r="E14" s="84">
        <f t="shared" si="1"/>
        <v>0.31344884488448843</v>
      </c>
      <c r="F14" s="84">
        <f t="shared" si="2"/>
        <v>3.8884488448844885</v>
      </c>
      <c r="G14" s="19">
        <f t="shared" si="3"/>
        <v>282.69023102310234</v>
      </c>
      <c r="H14" s="119">
        <v>275</v>
      </c>
      <c r="I14" s="21">
        <f t="shared" si="4"/>
        <v>-7.690231023102342</v>
      </c>
    </row>
    <row r="15" spans="1:9" s="8" customFormat="1" ht="15">
      <c r="A15" s="104" t="s">
        <v>115</v>
      </c>
      <c r="B15" s="22">
        <v>17.33</v>
      </c>
      <c r="C15" s="22">
        <f>B15*0.1</f>
        <v>1.7329999999999999</v>
      </c>
      <c r="D15" s="22">
        <v>290</v>
      </c>
      <c r="E15" s="84">
        <f>D15/$D$19*$E$19</f>
        <v>0.9090016501650167</v>
      </c>
      <c r="F15" s="84">
        <f>B15+E15+C15</f>
        <v>19.972001650165016</v>
      </c>
      <c r="G15" s="19">
        <f>F15*$G$1</f>
        <v>1451.9645199669967</v>
      </c>
      <c r="H15" s="132">
        <v>1413</v>
      </c>
      <c r="I15" s="21">
        <f>H15-G15</f>
        <v>-38.964519966996704</v>
      </c>
    </row>
    <row r="16" spans="1:9" s="8" customFormat="1" ht="15">
      <c r="A16" s="104" t="s">
        <v>127</v>
      </c>
      <c r="B16" s="22">
        <v>24.83</v>
      </c>
      <c r="C16" s="22">
        <f>B16*0.1</f>
        <v>2.483</v>
      </c>
      <c r="D16" s="22">
        <v>1380</v>
      </c>
      <c r="E16" s="84">
        <f>D16/$D$19*$E$19</f>
        <v>4.325594059405941</v>
      </c>
      <c r="F16" s="84">
        <f>B16+E16+C16</f>
        <v>31.63859405940594</v>
      </c>
      <c r="G16" s="19">
        <f>F16*$G$1</f>
        <v>2300.1257881188117</v>
      </c>
      <c r="H16" s="119">
        <v>2241</v>
      </c>
      <c r="I16" s="21">
        <f>H16-G16</f>
        <v>-59.12578811881167</v>
      </c>
    </row>
    <row r="17" spans="1:10" s="8" customFormat="1" ht="15">
      <c r="A17" s="104" t="s">
        <v>625</v>
      </c>
      <c r="B17" s="22">
        <v>48.58</v>
      </c>
      <c r="C17" s="22">
        <f>B17*0.1</f>
        <v>4.8580000000000005</v>
      </c>
      <c r="D17" s="22">
        <v>180</v>
      </c>
      <c r="E17" s="84">
        <f t="shared" si="1"/>
        <v>0.5642079207920793</v>
      </c>
      <c r="F17" s="84">
        <f>B17+E17+C17</f>
        <v>54.002207920792074</v>
      </c>
      <c r="G17" s="19">
        <f>F17*$G$1</f>
        <v>3925.960515841584</v>
      </c>
      <c r="H17" s="119">
        <f>3820+106</f>
        <v>3926</v>
      </c>
      <c r="I17" s="21">
        <f>H17-G17</f>
        <v>0.039484158416144055</v>
      </c>
      <c r="J17" s="131"/>
    </row>
    <row r="18" spans="1:10" s="8" customFormat="1" ht="15">
      <c r="A18" s="104" t="s">
        <v>224</v>
      </c>
      <c r="B18" s="85"/>
      <c r="C18" s="85"/>
      <c r="D18" s="22">
        <v>5890</v>
      </c>
      <c r="E18" s="84">
        <f t="shared" si="1"/>
        <v>18.46213696369637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263.68999999999994</v>
      </c>
      <c r="C19" s="86"/>
      <c r="D19" s="86">
        <f>SUM(D4:D18)</f>
        <v>12120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42296</v>
      </c>
      <c r="C1" s="10"/>
      <c r="D1" s="10"/>
      <c r="E1" s="10"/>
      <c r="F1" s="11" t="s">
        <v>206</v>
      </c>
      <c r="G1" s="106">
        <v>73.13</v>
      </c>
      <c r="H1" s="8" t="s">
        <v>207</v>
      </c>
    </row>
    <row r="2" s="8" customFormat="1" ht="23.25" customHeight="1">
      <c r="A2" s="33" t="s">
        <v>734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544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8">D4/$D$19*$E$19</f>
        <v>1.5788771418155305</v>
      </c>
      <c r="F4" s="84">
        <f aca="true" t="shared" si="2" ref="F4:F14">B4+E4+C4</f>
        <v>10.69787714181553</v>
      </c>
      <c r="G4" s="19">
        <f aca="true" t="shared" si="3" ref="G4:G14">F4*$G$1</f>
        <v>782.3357553809697</v>
      </c>
      <c r="H4" s="119">
        <v>780</v>
      </c>
      <c r="I4" s="21">
        <f aca="true" t="shared" si="4" ref="I4:I14">H4-G4</f>
        <v>-2.3357553809696583</v>
      </c>
    </row>
    <row r="5" spans="1:9" s="15" customFormat="1" ht="15">
      <c r="A5" s="103" t="s">
        <v>735</v>
      </c>
      <c r="B5" s="22">
        <v>8.29</v>
      </c>
      <c r="C5" s="22">
        <f t="shared" si="0"/>
        <v>0.829</v>
      </c>
      <c r="D5" s="22">
        <v>570</v>
      </c>
      <c r="E5" s="84">
        <f t="shared" si="1"/>
        <v>1.5788771418155305</v>
      </c>
      <c r="F5" s="84">
        <f t="shared" si="2"/>
        <v>10.69787714181553</v>
      </c>
      <c r="G5" s="19">
        <f t="shared" si="3"/>
        <v>782.3357553809697</v>
      </c>
      <c r="H5" s="119">
        <v>780</v>
      </c>
      <c r="I5" s="21">
        <f t="shared" si="4"/>
        <v>-2.3357553809696583</v>
      </c>
    </row>
    <row r="6" spans="1:9" s="8" customFormat="1" ht="15">
      <c r="A6" s="104" t="s">
        <v>736</v>
      </c>
      <c r="B6" s="22">
        <v>9.92</v>
      </c>
      <c r="C6" s="22">
        <f t="shared" si="0"/>
        <v>0.992</v>
      </c>
      <c r="D6" s="22">
        <v>50</v>
      </c>
      <c r="E6" s="84">
        <f t="shared" si="1"/>
        <v>0.13849799489609918</v>
      </c>
      <c r="F6" s="84">
        <f t="shared" si="2"/>
        <v>11.050497994896098</v>
      </c>
      <c r="G6" s="19">
        <f t="shared" si="3"/>
        <v>808.1229183667516</v>
      </c>
      <c r="H6" s="119">
        <v>850</v>
      </c>
      <c r="I6" s="21">
        <f t="shared" si="4"/>
        <v>41.877081633248395</v>
      </c>
    </row>
    <row r="7" spans="1:9" s="15" customFormat="1" ht="15">
      <c r="A7" s="103" t="s">
        <v>728</v>
      </c>
      <c r="B7" s="22">
        <v>8.29</v>
      </c>
      <c r="C7" s="22">
        <f t="shared" si="0"/>
        <v>0.829</v>
      </c>
      <c r="D7" s="22">
        <v>570</v>
      </c>
      <c r="E7" s="84">
        <f t="shared" si="1"/>
        <v>1.5788771418155305</v>
      </c>
      <c r="F7" s="84">
        <f t="shared" si="2"/>
        <v>10.69787714181553</v>
      </c>
      <c r="G7" s="19">
        <f t="shared" si="3"/>
        <v>782.3357553809697</v>
      </c>
      <c r="H7" s="119">
        <v>790</v>
      </c>
      <c r="I7" s="21">
        <f t="shared" si="4"/>
        <v>7.664244619030342</v>
      </c>
    </row>
    <row r="8" spans="1:9" s="15" customFormat="1" ht="15">
      <c r="A8" s="103" t="s">
        <v>737</v>
      </c>
      <c r="B8" s="22">
        <v>8.29</v>
      </c>
      <c r="C8" s="22">
        <f>B8*0.1</f>
        <v>0.829</v>
      </c>
      <c r="D8" s="22">
        <v>570</v>
      </c>
      <c r="E8" s="84">
        <f>D8/$D$19*$E$19</f>
        <v>1.5788771418155305</v>
      </c>
      <c r="F8" s="84">
        <f>B8+E8+C8</f>
        <v>10.69787714181553</v>
      </c>
      <c r="G8" s="19">
        <f>F8*$G$1</f>
        <v>782.3357553809697</v>
      </c>
      <c r="H8" s="132">
        <v>780</v>
      </c>
      <c r="I8" s="21">
        <f>H8-G8</f>
        <v>-2.3357553809696583</v>
      </c>
    </row>
    <row r="9" spans="1:9" s="15" customFormat="1" ht="15">
      <c r="A9" s="103" t="s">
        <v>416</v>
      </c>
      <c r="B9" s="22">
        <v>7.08</v>
      </c>
      <c r="C9" s="22">
        <f>B9*0.1</f>
        <v>0.7080000000000001</v>
      </c>
      <c r="D9" s="22">
        <v>280</v>
      </c>
      <c r="E9" s="84">
        <f>D9/$D$19*$E$19</f>
        <v>0.7755887714181553</v>
      </c>
      <c r="F9" s="84">
        <f>B9+E9+C9</f>
        <v>8.563588771418155</v>
      </c>
      <c r="G9" s="19">
        <f>F9*$G$1</f>
        <v>626.2552468538097</v>
      </c>
      <c r="H9" s="119">
        <f>609+40</f>
        <v>649</v>
      </c>
      <c r="I9" s="21">
        <f>H9-G9</f>
        <v>22.744753146190305</v>
      </c>
    </row>
    <row r="10" spans="1:9" s="8" customFormat="1" ht="15">
      <c r="A10" s="104" t="s">
        <v>115</v>
      </c>
      <c r="B10" s="22">
        <v>9.58</v>
      </c>
      <c r="C10" s="22">
        <f>B10*0.1</f>
        <v>0.9580000000000001</v>
      </c>
      <c r="D10" s="22">
        <v>500</v>
      </c>
      <c r="E10" s="84">
        <f>D10/$D$19*$E$19</f>
        <v>1.3849799489609915</v>
      </c>
      <c r="F10" s="84">
        <f>B10+E10+C10</f>
        <v>11.922979948960991</v>
      </c>
      <c r="G10" s="19">
        <f>F10*$G$1</f>
        <v>871.9275236675172</v>
      </c>
      <c r="H10" s="119">
        <v>850</v>
      </c>
      <c r="I10" s="21">
        <f>H10-G10</f>
        <v>-21.92752366751722</v>
      </c>
    </row>
    <row r="11" spans="1:9" s="15" customFormat="1" ht="15">
      <c r="A11" s="103" t="s">
        <v>418</v>
      </c>
      <c r="B11" s="22">
        <v>33.16</v>
      </c>
      <c r="C11" s="22">
        <f>B11*0.1</f>
        <v>3.316</v>
      </c>
      <c r="D11" s="22">
        <v>2300</v>
      </c>
      <c r="E11" s="84">
        <f>D11/$D$19*$E$19</f>
        <v>6.3709077652205615</v>
      </c>
      <c r="F11" s="84">
        <f>B11+E11+C11</f>
        <v>42.846907765220564</v>
      </c>
      <c r="G11" s="19">
        <f>F11*$G$1</f>
        <v>3133.3943648705795</v>
      </c>
      <c r="H11" s="119">
        <v>3125</v>
      </c>
      <c r="I11" s="21">
        <f>H11-G11</f>
        <v>-8.394364870579466</v>
      </c>
    </row>
    <row r="12" spans="1:9" s="15" customFormat="1" ht="15">
      <c r="A12" s="103" t="s">
        <v>584</v>
      </c>
      <c r="B12" s="22">
        <v>4.58</v>
      </c>
      <c r="C12" s="22">
        <f t="shared" si="0"/>
        <v>0.458</v>
      </c>
      <c r="D12" s="22">
        <v>75</v>
      </c>
      <c r="E12" s="84">
        <f t="shared" si="1"/>
        <v>0.20774699234414876</v>
      </c>
      <c r="F12" s="84">
        <f t="shared" si="2"/>
        <v>5.245746992344149</v>
      </c>
      <c r="G12" s="19">
        <f t="shared" si="3"/>
        <v>383.62147755012757</v>
      </c>
      <c r="H12" s="137">
        <f>373+10</f>
        <v>383</v>
      </c>
      <c r="I12" s="21">
        <f t="shared" si="4"/>
        <v>-0.6214775501275653</v>
      </c>
    </row>
    <row r="13" spans="1:9" s="8" customFormat="1" ht="15">
      <c r="A13" s="104" t="s">
        <v>738</v>
      </c>
      <c r="B13" s="22">
        <v>5.085</v>
      </c>
      <c r="C13" s="22">
        <f t="shared" si="0"/>
        <v>0.5085000000000001</v>
      </c>
      <c r="D13" s="22">
        <v>570</v>
      </c>
      <c r="E13" s="84">
        <f>D13/$D$19*$E$19</f>
        <v>1.5788771418155305</v>
      </c>
      <c r="F13" s="84">
        <f t="shared" si="2"/>
        <v>7.17237714181553</v>
      </c>
      <c r="G13" s="19">
        <f t="shared" si="3"/>
        <v>524.5159403809697</v>
      </c>
      <c r="H13" s="119">
        <v>528</v>
      </c>
      <c r="I13" s="21">
        <f t="shared" si="4"/>
        <v>3.4840596190302904</v>
      </c>
    </row>
    <row r="14" spans="1:9" s="8" customFormat="1" ht="15">
      <c r="A14" s="103" t="s">
        <v>739</v>
      </c>
      <c r="B14" s="22">
        <v>43.12</v>
      </c>
      <c r="C14" s="22">
        <f t="shared" si="0"/>
        <v>4.312</v>
      </c>
      <c r="D14" s="22">
        <v>1795</v>
      </c>
      <c r="E14" s="84">
        <f t="shared" si="1"/>
        <v>4.97207801676996</v>
      </c>
      <c r="F14" s="84">
        <f t="shared" si="2"/>
        <v>52.40407801676996</v>
      </c>
      <c r="G14" s="19">
        <f t="shared" si="3"/>
        <v>3832.310225366387</v>
      </c>
      <c r="H14" s="119">
        <f>3745+71</f>
        <v>3816</v>
      </c>
      <c r="I14" s="21">
        <f t="shared" si="4"/>
        <v>-16.31022536638693</v>
      </c>
    </row>
    <row r="15" spans="1:9" s="8" customFormat="1" ht="15">
      <c r="A15" s="104" t="s">
        <v>479</v>
      </c>
      <c r="B15" s="22">
        <v>15.17</v>
      </c>
      <c r="C15" s="22">
        <f>B15*0.1</f>
        <v>1.5170000000000001</v>
      </c>
      <c r="D15" s="22">
        <v>540</v>
      </c>
      <c r="E15" s="84">
        <f>D15/$D$19*$E$19</f>
        <v>1.495778344877871</v>
      </c>
      <c r="F15" s="84">
        <f>B15+E15+C15</f>
        <v>18.18277834487787</v>
      </c>
      <c r="G15" s="19">
        <f>F15*$G$1</f>
        <v>1329.7065803609187</v>
      </c>
      <c r="H15" s="132">
        <v>1303</v>
      </c>
      <c r="I15" s="21">
        <f>H15-G15</f>
        <v>-26.70658036091868</v>
      </c>
    </row>
    <row r="16" spans="1:9" s="8" customFormat="1" ht="15">
      <c r="A16" s="104" t="s">
        <v>140</v>
      </c>
      <c r="B16" s="22">
        <v>24.5</v>
      </c>
      <c r="C16" s="22">
        <f>B16*0.1</f>
        <v>2.45</v>
      </c>
      <c r="D16" s="22">
        <v>1375</v>
      </c>
      <c r="E16" s="84">
        <f>D16/$D$19*$E$19</f>
        <v>3.8086948596427272</v>
      </c>
      <c r="F16" s="84">
        <f>B16+E16+C16</f>
        <v>30.758694859642727</v>
      </c>
      <c r="G16" s="19">
        <f>F16*$G$1</f>
        <v>2249.3833550856725</v>
      </c>
      <c r="H16" s="119">
        <f>2190+59</f>
        <v>2249</v>
      </c>
      <c r="I16" s="21">
        <f>H16-G16</f>
        <v>-0.38335508567251964</v>
      </c>
    </row>
    <row r="17" spans="1:10" s="8" customFormat="1" ht="15">
      <c r="A17" s="104" t="s">
        <v>740</v>
      </c>
      <c r="B17" s="22">
        <v>33.32</v>
      </c>
      <c r="C17" s="22">
        <f>B17*0.1</f>
        <v>3.3320000000000003</v>
      </c>
      <c r="D17" s="22">
        <v>1055</v>
      </c>
      <c r="E17" s="84">
        <f t="shared" si="1"/>
        <v>2.9223076923076925</v>
      </c>
      <c r="F17" s="84">
        <f>B17+E17+C17</f>
        <v>39.57430769230769</v>
      </c>
      <c r="G17" s="19">
        <f>F17*$G$1</f>
        <v>2894.0691215384613</v>
      </c>
      <c r="H17" s="119">
        <f>2801+93</f>
        <v>2894</v>
      </c>
      <c r="I17" s="21">
        <f>H17-G17</f>
        <v>-0.06912153846133151</v>
      </c>
      <c r="J17" s="131"/>
    </row>
    <row r="18" spans="1:10" s="8" customFormat="1" ht="15">
      <c r="A18" s="104" t="s">
        <v>224</v>
      </c>
      <c r="B18" s="85"/>
      <c r="C18" s="85"/>
      <c r="D18" s="22">
        <v>2895</v>
      </c>
      <c r="E18" s="84">
        <f t="shared" si="1"/>
        <v>8.019033904484143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218.67499999999995</v>
      </c>
      <c r="C19" s="86"/>
      <c r="D19" s="86">
        <f>SUM(D4:D18)</f>
        <v>13715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42305</v>
      </c>
      <c r="C1" s="10"/>
      <c r="D1" s="10"/>
      <c r="E1" s="10"/>
      <c r="F1" s="11" t="s">
        <v>206</v>
      </c>
      <c r="G1" s="106">
        <v>73.07</v>
      </c>
      <c r="H1" s="8" t="s">
        <v>207</v>
      </c>
    </row>
    <row r="2" s="8" customFormat="1" ht="23.25" customHeight="1">
      <c r="A2" s="33" t="s">
        <v>742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743</v>
      </c>
      <c r="B4" s="22">
        <v>5.75</v>
      </c>
      <c r="C4" s="22">
        <f aca="true" t="shared" si="0" ref="C4:C14">B4*0.1</f>
        <v>0.5750000000000001</v>
      </c>
      <c r="D4" s="22">
        <v>140</v>
      </c>
      <c r="E4" s="84">
        <f aca="true" t="shared" si="1" ref="E4:E17">D4/$D$18*$E$18</f>
        <v>0.4525534950071327</v>
      </c>
      <c r="F4" s="84">
        <f aca="true" t="shared" si="2" ref="F4:F14">B4+E4+C4</f>
        <v>6.777553495007133</v>
      </c>
      <c r="G4" s="19">
        <f aca="true" t="shared" si="3" ref="G4:G14">F4*$G$1</f>
        <v>495.2358338801712</v>
      </c>
      <c r="H4" s="119">
        <v>495</v>
      </c>
      <c r="I4" s="21">
        <f aca="true" t="shared" si="4" ref="I4:I14">H4-G4</f>
        <v>-0.23583388017118523</v>
      </c>
    </row>
    <row r="5" spans="1:9" s="15" customFormat="1" ht="15">
      <c r="A5" s="103" t="s">
        <v>572</v>
      </c>
      <c r="B5" s="22">
        <v>10.17</v>
      </c>
      <c r="C5" s="22">
        <f t="shared" si="0"/>
        <v>1.0170000000000001</v>
      </c>
      <c r="D5" s="22">
        <v>1150</v>
      </c>
      <c r="E5" s="84">
        <f t="shared" si="1"/>
        <v>3.7174037089871614</v>
      </c>
      <c r="F5" s="84">
        <f t="shared" si="2"/>
        <v>14.90440370898716</v>
      </c>
      <c r="G5" s="19">
        <f t="shared" si="3"/>
        <v>1089.0647790156918</v>
      </c>
      <c r="H5" s="119">
        <v>1112</v>
      </c>
      <c r="I5" s="21">
        <f t="shared" si="4"/>
        <v>22.935220984308216</v>
      </c>
    </row>
    <row r="6" spans="1:10" s="8" customFormat="1" ht="15">
      <c r="A6" s="104" t="s">
        <v>565</v>
      </c>
      <c r="B6" s="22">
        <v>16.58</v>
      </c>
      <c r="C6" s="22">
        <f t="shared" si="0"/>
        <v>1.658</v>
      </c>
      <c r="D6" s="22">
        <v>950</v>
      </c>
      <c r="E6" s="84">
        <f t="shared" si="1"/>
        <v>3.070898716119829</v>
      </c>
      <c r="F6" s="84">
        <f t="shared" si="2"/>
        <v>21.308898716119828</v>
      </c>
      <c r="G6" s="19">
        <f t="shared" si="3"/>
        <v>1557.0412291868756</v>
      </c>
      <c r="H6" s="119">
        <f>1596-8</f>
        <v>1588</v>
      </c>
      <c r="I6" s="21">
        <f t="shared" si="4"/>
        <v>30.958770813124374</v>
      </c>
      <c r="J6" s="8" t="s">
        <v>754</v>
      </c>
    </row>
    <row r="7" spans="1:9" s="15" customFormat="1" ht="15">
      <c r="A7" s="103" t="s">
        <v>41</v>
      </c>
      <c r="B7" s="22">
        <v>13.25</v>
      </c>
      <c r="C7" s="22">
        <f t="shared" si="0"/>
        <v>1.3250000000000002</v>
      </c>
      <c r="D7" s="22">
        <v>70</v>
      </c>
      <c r="E7" s="84">
        <f t="shared" si="1"/>
        <v>0.22627674750356636</v>
      </c>
      <c r="F7" s="84">
        <f t="shared" si="2"/>
        <v>14.801276747503568</v>
      </c>
      <c r="G7" s="19">
        <f t="shared" si="3"/>
        <v>1081.5292919400856</v>
      </c>
      <c r="H7" s="119">
        <f>1010+85</f>
        <v>1095</v>
      </c>
      <c r="I7" s="21">
        <f t="shared" si="4"/>
        <v>13.470708059914386</v>
      </c>
    </row>
    <row r="8" spans="1:9" s="15" customFormat="1" ht="15">
      <c r="A8" s="103" t="s">
        <v>115</v>
      </c>
      <c r="B8" s="22">
        <v>10.42</v>
      </c>
      <c r="C8" s="22">
        <f>B8*0.1</f>
        <v>1.042</v>
      </c>
      <c r="D8" s="22">
        <v>230</v>
      </c>
      <c r="E8" s="84">
        <f t="shared" si="1"/>
        <v>0.7434807417974323</v>
      </c>
      <c r="F8" s="84">
        <f>B8+E8+C8</f>
        <v>12.205480741797432</v>
      </c>
      <c r="G8" s="19">
        <f>F8*$G$1</f>
        <v>891.8544778031383</v>
      </c>
      <c r="H8" s="132">
        <v>981</v>
      </c>
      <c r="I8" s="21">
        <f>H8-G8</f>
        <v>89.14552219686175</v>
      </c>
    </row>
    <row r="9" spans="1:9" s="15" customFormat="1" ht="15">
      <c r="A9" s="103" t="s">
        <v>569</v>
      </c>
      <c r="B9" s="22">
        <v>16.58</v>
      </c>
      <c r="C9" s="22">
        <f>B9*0.1</f>
        <v>1.658</v>
      </c>
      <c r="D9" s="22">
        <v>950</v>
      </c>
      <c r="E9" s="84">
        <f t="shared" si="1"/>
        <v>3.070898716119829</v>
      </c>
      <c r="F9" s="84">
        <f>B9+E9+C9</f>
        <v>21.308898716119828</v>
      </c>
      <c r="G9" s="19">
        <f>F9*$G$1</f>
        <v>1557.0412291868756</v>
      </c>
      <c r="H9" s="119">
        <v>1576</v>
      </c>
      <c r="I9" s="21">
        <f>H9-G9</f>
        <v>18.958770813124374</v>
      </c>
    </row>
    <row r="10" spans="1:9" s="8" customFormat="1" ht="15">
      <c r="A10" s="104" t="s">
        <v>744</v>
      </c>
      <c r="B10" s="22">
        <v>4.58</v>
      </c>
      <c r="C10" s="22">
        <f>B10*0.1</f>
        <v>0.458</v>
      </c>
      <c r="D10" s="22">
        <v>160</v>
      </c>
      <c r="E10" s="84">
        <f t="shared" si="1"/>
        <v>0.517203994293866</v>
      </c>
      <c r="F10" s="84">
        <f>B10+E10+C10</f>
        <v>5.5552039942938665</v>
      </c>
      <c r="G10" s="19">
        <f>F10*$G$1</f>
        <v>405.9187558630528</v>
      </c>
      <c r="H10" s="119">
        <v>412</v>
      </c>
      <c r="I10" s="21">
        <f>H10-G10</f>
        <v>6.081244136947191</v>
      </c>
    </row>
    <row r="11" spans="1:9" s="15" customFormat="1" ht="15">
      <c r="A11" s="103" t="s">
        <v>745</v>
      </c>
      <c r="B11" s="22">
        <v>4.58</v>
      </c>
      <c r="C11" s="22">
        <f>B11*0.1</f>
        <v>0.458</v>
      </c>
      <c r="D11" s="22">
        <v>160</v>
      </c>
      <c r="E11" s="84">
        <f t="shared" si="1"/>
        <v>0.517203994293866</v>
      </c>
      <c r="F11" s="84">
        <f>B11+E11+C11</f>
        <v>5.5552039942938665</v>
      </c>
      <c r="G11" s="19">
        <f>F11*$G$1</f>
        <v>405.9187558630528</v>
      </c>
      <c r="H11" s="119">
        <v>412</v>
      </c>
      <c r="I11" s="21">
        <f>H11-G11</f>
        <v>6.081244136947191</v>
      </c>
    </row>
    <row r="12" spans="1:9" s="15" customFormat="1" ht="15">
      <c r="A12" s="103" t="s">
        <v>684</v>
      </c>
      <c r="B12" s="22">
        <v>14.07</v>
      </c>
      <c r="C12" s="22">
        <f t="shared" si="0"/>
        <v>1.407</v>
      </c>
      <c r="D12" s="22">
        <v>170</v>
      </c>
      <c r="E12" s="84">
        <f t="shared" si="1"/>
        <v>0.5495292439372326</v>
      </c>
      <c r="F12" s="84">
        <f t="shared" si="2"/>
        <v>16.026529243937233</v>
      </c>
      <c r="G12" s="19">
        <f t="shared" si="3"/>
        <v>1171.0584918544935</v>
      </c>
      <c r="H12" s="137">
        <v>1180</v>
      </c>
      <c r="I12" s="21">
        <f t="shared" si="4"/>
        <v>8.941508145506532</v>
      </c>
    </row>
    <row r="13" spans="1:9" s="8" customFormat="1" ht="15">
      <c r="A13" s="104" t="s">
        <v>607</v>
      </c>
      <c r="B13" s="22">
        <v>24.83</v>
      </c>
      <c r="C13" s="22">
        <f t="shared" si="0"/>
        <v>2.483</v>
      </c>
      <c r="D13" s="22">
        <v>1155</v>
      </c>
      <c r="E13" s="84">
        <f t="shared" si="1"/>
        <v>3.7335663338088447</v>
      </c>
      <c r="F13" s="84">
        <f t="shared" si="2"/>
        <v>31.046566333808844</v>
      </c>
      <c r="G13" s="19">
        <f t="shared" si="3"/>
        <v>2268.572602011412</v>
      </c>
      <c r="H13" s="119">
        <v>2304</v>
      </c>
      <c r="I13" s="21">
        <f t="shared" si="4"/>
        <v>35.42739798858793</v>
      </c>
    </row>
    <row r="14" spans="1:10" s="8" customFormat="1" ht="15">
      <c r="A14" s="103" t="s">
        <v>739</v>
      </c>
      <c r="B14" s="22">
        <v>23.16</v>
      </c>
      <c r="C14" s="22">
        <f t="shared" si="0"/>
        <v>2.3160000000000003</v>
      </c>
      <c r="D14" s="22">
        <v>730</v>
      </c>
      <c r="E14" s="84">
        <f t="shared" si="1"/>
        <v>2.359743223965763</v>
      </c>
      <c r="F14" s="84">
        <f t="shared" si="2"/>
        <v>27.83574322396576</v>
      </c>
      <c r="G14" s="19">
        <f t="shared" si="3"/>
        <v>2033.9577573751778</v>
      </c>
      <c r="H14" s="119">
        <f>607+1443</f>
        <v>2050</v>
      </c>
      <c r="I14" s="21">
        <f t="shared" si="4"/>
        <v>16.042242624822165</v>
      </c>
      <c r="J14" s="8" t="s">
        <v>752</v>
      </c>
    </row>
    <row r="15" spans="1:9" s="8" customFormat="1" ht="15">
      <c r="A15" s="104" t="s">
        <v>746</v>
      </c>
      <c r="B15" s="22">
        <v>7.96</v>
      </c>
      <c r="C15" s="22">
        <f>B15*0.1</f>
        <v>0.796</v>
      </c>
      <c r="D15" s="22">
        <v>305</v>
      </c>
      <c r="E15" s="84">
        <f t="shared" si="1"/>
        <v>0.985920114122682</v>
      </c>
      <c r="F15" s="84">
        <f>B15+E15+C15</f>
        <v>9.741920114122681</v>
      </c>
      <c r="G15" s="19">
        <f>F15*$G$1</f>
        <v>711.8421027389443</v>
      </c>
      <c r="H15" s="132">
        <v>722</v>
      </c>
      <c r="I15" s="21">
        <f>H15-G15</f>
        <v>10.157897261055723</v>
      </c>
    </row>
    <row r="16" spans="1:9" s="8" customFormat="1" ht="15">
      <c r="A16" s="104" t="s">
        <v>747</v>
      </c>
      <c r="B16" s="22">
        <v>21.3</v>
      </c>
      <c r="C16" s="22">
        <f>B16*0.1</f>
        <v>2.1300000000000003</v>
      </c>
      <c r="D16" s="22">
        <v>285</v>
      </c>
      <c r="E16" s="84">
        <f t="shared" si="1"/>
        <v>0.9212696148359487</v>
      </c>
      <c r="F16" s="84">
        <f>B16+E16+C16</f>
        <v>24.35126961483595</v>
      </c>
      <c r="G16" s="19">
        <f>F16*$G$1</f>
        <v>1779.3472707560627</v>
      </c>
      <c r="H16" s="119">
        <f>1722+57</f>
        <v>1779</v>
      </c>
      <c r="I16" s="21">
        <f>H16-G16</f>
        <v>-0.34727075606269864</v>
      </c>
    </row>
    <row r="17" spans="1:10" s="8" customFormat="1" ht="15">
      <c r="A17" s="104" t="s">
        <v>224</v>
      </c>
      <c r="B17" s="85"/>
      <c r="C17" s="85"/>
      <c r="D17" s="22">
        <v>4060</v>
      </c>
      <c r="E17" s="84">
        <f t="shared" si="1"/>
        <v>13.124051355206849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173.23000000000002</v>
      </c>
      <c r="C18" s="86"/>
      <c r="D18" s="86">
        <f>SUM(D4:D17)</f>
        <v>10515</v>
      </c>
      <c r="E18" s="1">
        <v>33.99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42317</v>
      </c>
      <c r="C1" s="10"/>
      <c r="D1" s="10"/>
      <c r="E1" s="10"/>
      <c r="F1" s="11" t="s">
        <v>206</v>
      </c>
      <c r="G1" s="106">
        <v>71.25</v>
      </c>
      <c r="H1" s="8" t="s">
        <v>207</v>
      </c>
    </row>
    <row r="2" s="8" customFormat="1" ht="23.25" customHeight="1">
      <c r="A2" s="33" t="s">
        <v>753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418</v>
      </c>
      <c r="B4" s="22">
        <v>143.28</v>
      </c>
      <c r="C4" s="22">
        <f aca="true" t="shared" si="0" ref="C4:C14">B4*0.1</f>
        <v>14.328000000000001</v>
      </c>
      <c r="D4" s="22">
        <v>1160</v>
      </c>
      <c r="E4" s="84">
        <f aca="true" t="shared" si="1" ref="E4:E18">D4/$D$19*$E$19</f>
        <v>3.6225565145910403</v>
      </c>
      <c r="F4" s="84">
        <f aca="true" t="shared" si="2" ref="F4:F14">B4+E4+C4</f>
        <v>161.23055651459106</v>
      </c>
      <c r="G4" s="19">
        <f aca="true" t="shared" si="3" ref="G4:G14">F4*$G$1</f>
        <v>11487.677151664613</v>
      </c>
      <c r="H4" s="132">
        <v>11653</v>
      </c>
      <c r="I4" s="21">
        <f aca="true" t="shared" si="4" ref="I4:I14">H4-G4</f>
        <v>165.32284833538688</v>
      </c>
    </row>
    <row r="5" spans="1:9" s="15" customFormat="1" ht="15">
      <c r="A5" s="103" t="s">
        <v>759</v>
      </c>
      <c r="B5" s="22">
        <v>17.59</v>
      </c>
      <c r="C5" s="22">
        <f t="shared" si="0"/>
        <v>1.7590000000000001</v>
      </c>
      <c r="D5" s="22">
        <v>1280</v>
      </c>
      <c r="E5" s="84">
        <f t="shared" si="1"/>
        <v>3.997303740238389</v>
      </c>
      <c r="F5" s="84">
        <f t="shared" si="2"/>
        <v>23.34630374023839</v>
      </c>
      <c r="G5" s="19">
        <f t="shared" si="3"/>
        <v>1663.4241414919852</v>
      </c>
      <c r="H5" s="132">
        <v>1671</v>
      </c>
      <c r="I5" s="21">
        <f t="shared" si="4"/>
        <v>7.5758585080147895</v>
      </c>
    </row>
    <row r="6" spans="1:9" s="8" customFormat="1" ht="15">
      <c r="A6" s="104" t="s">
        <v>600</v>
      </c>
      <c r="B6" s="22">
        <v>26.58</v>
      </c>
      <c r="C6" s="22">
        <f t="shared" si="0"/>
        <v>2.658</v>
      </c>
      <c r="D6" s="22">
        <v>100</v>
      </c>
      <c r="E6" s="84">
        <f t="shared" si="1"/>
        <v>0.3122893547061241</v>
      </c>
      <c r="F6" s="84">
        <f t="shared" si="2"/>
        <v>29.550289354706123</v>
      </c>
      <c r="G6" s="19">
        <f t="shared" si="3"/>
        <v>2105.4581165228115</v>
      </c>
      <c r="H6" s="132">
        <v>2109</v>
      </c>
      <c r="I6" s="21">
        <f t="shared" si="4"/>
        <v>3.5418834771885486</v>
      </c>
    </row>
    <row r="7" spans="1:9" s="15" customFormat="1" ht="15">
      <c r="A7" s="103" t="s">
        <v>8</v>
      </c>
      <c r="B7" s="22">
        <v>38.96</v>
      </c>
      <c r="C7" s="22">
        <f t="shared" si="0"/>
        <v>3.8960000000000004</v>
      </c>
      <c r="D7" s="22">
        <v>1500</v>
      </c>
      <c r="E7" s="84">
        <f t="shared" si="1"/>
        <v>4.684340320591862</v>
      </c>
      <c r="F7" s="84">
        <f t="shared" si="2"/>
        <v>47.540340320591866</v>
      </c>
      <c r="G7" s="19">
        <f t="shared" si="3"/>
        <v>3387.2492478421705</v>
      </c>
      <c r="H7" s="132">
        <v>3362</v>
      </c>
      <c r="I7" s="21">
        <f t="shared" si="4"/>
        <v>-25.249247842170462</v>
      </c>
    </row>
    <row r="8" spans="1:9" s="15" customFormat="1" ht="15">
      <c r="A8" s="103" t="s">
        <v>155</v>
      </c>
      <c r="B8" s="22">
        <v>2.08</v>
      </c>
      <c r="C8" s="22">
        <f>B8*0.1</f>
        <v>0.20800000000000002</v>
      </c>
      <c r="D8" s="22">
        <v>100</v>
      </c>
      <c r="E8" s="84">
        <f t="shared" si="1"/>
        <v>0.3122893547061241</v>
      </c>
      <c r="F8" s="84">
        <f>B8+E8+C8</f>
        <v>2.6002893547061245</v>
      </c>
      <c r="G8" s="19">
        <f>F8*$G$1</f>
        <v>185.27061652281137</v>
      </c>
      <c r="H8" s="119">
        <v>186</v>
      </c>
      <c r="I8" s="21">
        <f>H8-G8</f>
        <v>0.7293834771886338</v>
      </c>
    </row>
    <row r="9" spans="1:9" s="15" customFormat="1" ht="15">
      <c r="A9" s="103" t="s">
        <v>760</v>
      </c>
      <c r="B9" s="22">
        <v>26.5</v>
      </c>
      <c r="C9" s="22">
        <f>B9*0.1</f>
        <v>2.6500000000000004</v>
      </c>
      <c r="D9" s="22">
        <v>950</v>
      </c>
      <c r="E9" s="84">
        <f t="shared" si="1"/>
        <v>2.966748869708179</v>
      </c>
      <c r="F9" s="84">
        <f>B9+E9+C9</f>
        <v>32.11674886970818</v>
      </c>
      <c r="G9" s="19">
        <f>F9*$G$1</f>
        <v>2288.318356966708</v>
      </c>
      <c r="H9" s="119">
        <v>2296</v>
      </c>
      <c r="I9" s="21">
        <f>H9-G9</f>
        <v>7.681643033291948</v>
      </c>
    </row>
    <row r="10" spans="1:9" s="8" customFormat="1" ht="15">
      <c r="A10" s="104" t="s">
        <v>384</v>
      </c>
      <c r="B10" s="22">
        <v>11.58</v>
      </c>
      <c r="C10" s="22">
        <f>B10*0.1</f>
        <v>1.1580000000000001</v>
      </c>
      <c r="D10" s="22">
        <v>75</v>
      </c>
      <c r="E10" s="84">
        <f t="shared" si="1"/>
        <v>0.2342170160295931</v>
      </c>
      <c r="F10" s="84">
        <f>B10+E10+C10</f>
        <v>12.972217016029592</v>
      </c>
      <c r="G10" s="19">
        <f>F10*$G$1</f>
        <v>924.2704623921085</v>
      </c>
      <c r="H10" s="119">
        <v>920</v>
      </c>
      <c r="I10" s="21">
        <f>H10-G10</f>
        <v>-4.27046239210847</v>
      </c>
    </row>
    <row r="11" spans="1:9" s="15" customFormat="1" ht="15">
      <c r="A11" s="103" t="s">
        <v>118</v>
      </c>
      <c r="B11" s="22">
        <v>10.75</v>
      </c>
      <c r="C11" s="22">
        <f>B11*0.1</f>
        <v>1.075</v>
      </c>
      <c r="D11" s="22">
        <v>200</v>
      </c>
      <c r="E11" s="84">
        <f t="shared" si="1"/>
        <v>0.6245787094122482</v>
      </c>
      <c r="F11" s="84">
        <f>B11+E11+C11</f>
        <v>12.449578709412247</v>
      </c>
      <c r="G11" s="19">
        <f>F11*$G$1</f>
        <v>887.0324830456226</v>
      </c>
      <c r="H11" s="132">
        <v>890</v>
      </c>
      <c r="I11" s="21">
        <f>H11-G11</f>
        <v>2.967516954377402</v>
      </c>
    </row>
    <row r="12" spans="1:9" s="15" customFormat="1" ht="15">
      <c r="A12" s="103" t="s">
        <v>761</v>
      </c>
      <c r="B12" s="22">
        <v>21.58</v>
      </c>
      <c r="C12" s="22">
        <f t="shared" si="0"/>
        <v>2.158</v>
      </c>
      <c r="D12" s="22">
        <v>45</v>
      </c>
      <c r="E12" s="84">
        <f t="shared" si="1"/>
        <v>0.14053020961775586</v>
      </c>
      <c r="F12" s="84">
        <f t="shared" si="2"/>
        <v>23.878530209617754</v>
      </c>
      <c r="G12" s="19">
        <f t="shared" si="3"/>
        <v>1701.345277435265</v>
      </c>
      <c r="H12" s="132">
        <v>1701</v>
      </c>
      <c r="I12" s="21">
        <f t="shared" si="4"/>
        <v>-0.34527743526496124</v>
      </c>
    </row>
    <row r="13" spans="1:9" s="8" customFormat="1" ht="15">
      <c r="A13" s="104" t="s">
        <v>735</v>
      </c>
      <c r="B13" s="22">
        <v>12.08</v>
      </c>
      <c r="C13" s="22">
        <f t="shared" si="0"/>
        <v>1.2080000000000002</v>
      </c>
      <c r="D13" s="22">
        <v>70</v>
      </c>
      <c r="E13" s="84">
        <f t="shared" si="1"/>
        <v>0.2186025482942869</v>
      </c>
      <c r="F13" s="84">
        <f t="shared" si="2"/>
        <v>13.506602548294287</v>
      </c>
      <c r="G13" s="19">
        <f t="shared" si="3"/>
        <v>962.3454315659679</v>
      </c>
      <c r="H13" s="119">
        <v>960</v>
      </c>
      <c r="I13" s="21">
        <f t="shared" si="4"/>
        <v>-2.3454315659679423</v>
      </c>
    </row>
    <row r="14" spans="1:9" s="8" customFormat="1" ht="15">
      <c r="A14" s="103" t="s">
        <v>529</v>
      </c>
      <c r="B14" s="22">
        <v>22.59</v>
      </c>
      <c r="C14" s="22">
        <f t="shared" si="0"/>
        <v>2.259</v>
      </c>
      <c r="D14" s="22">
        <v>1405</v>
      </c>
      <c r="E14" s="84">
        <f t="shared" si="1"/>
        <v>4.387665433621044</v>
      </c>
      <c r="F14" s="84">
        <f t="shared" si="2"/>
        <v>29.236665433621045</v>
      </c>
      <c r="G14" s="19">
        <f t="shared" si="3"/>
        <v>2083.1124121454995</v>
      </c>
      <c r="H14" s="132">
        <v>2045</v>
      </c>
      <c r="I14" s="21">
        <f t="shared" si="4"/>
        <v>-38.11241214549955</v>
      </c>
    </row>
    <row r="15" spans="1:9" s="8" customFormat="1" ht="15">
      <c r="A15" s="104" t="s">
        <v>569</v>
      </c>
      <c r="B15" s="22">
        <v>12.42</v>
      </c>
      <c r="C15" s="22">
        <f>B15*0.1</f>
        <v>1.242</v>
      </c>
      <c r="D15" s="22">
        <v>950</v>
      </c>
      <c r="E15" s="84">
        <f t="shared" si="1"/>
        <v>2.966748869708179</v>
      </c>
      <c r="F15" s="84">
        <f>B15+E15+C15</f>
        <v>16.62874886970818</v>
      </c>
      <c r="G15" s="19">
        <f>F15*$G$1</f>
        <v>1184.7983569667078</v>
      </c>
      <c r="H15" s="119">
        <v>1172</v>
      </c>
      <c r="I15" s="21">
        <f>H15-G15</f>
        <v>-12.798356966707843</v>
      </c>
    </row>
    <row r="16" spans="1:9" s="8" customFormat="1" ht="15">
      <c r="A16" s="104" t="s">
        <v>453</v>
      </c>
      <c r="B16" s="22">
        <v>7.49</v>
      </c>
      <c r="C16" s="22">
        <f>B16*0.1</f>
        <v>0.7490000000000001</v>
      </c>
      <c r="D16" s="22">
        <v>60</v>
      </c>
      <c r="E16" s="84">
        <f t="shared" si="1"/>
        <v>0.18737361282367448</v>
      </c>
      <c r="F16" s="84">
        <f>B16+E16+C16</f>
        <v>8.426373612823674</v>
      </c>
      <c r="G16" s="19">
        <f>F16*$G$1</f>
        <v>600.3791199136868</v>
      </c>
      <c r="H16" s="119">
        <v>599</v>
      </c>
      <c r="I16" s="21">
        <f>H16-G16</f>
        <v>-1.37911991368685</v>
      </c>
    </row>
    <row r="17" spans="1:9" s="8" customFormat="1" ht="15">
      <c r="A17" s="104" t="s">
        <v>24</v>
      </c>
      <c r="B17" s="22">
        <v>25.82</v>
      </c>
      <c r="C17" s="22">
        <f>B17*0.1</f>
        <v>2.5820000000000003</v>
      </c>
      <c r="D17" s="22">
        <v>1280</v>
      </c>
      <c r="E17" s="84">
        <f>D17/$D$19*$E$19</f>
        <v>3.997303740238389</v>
      </c>
      <c r="F17" s="84">
        <f>B17+E17+C17</f>
        <v>32.39930374023839</v>
      </c>
      <c r="G17" s="19">
        <f>F17*$G$1</f>
        <v>2308.450391491985</v>
      </c>
      <c r="H17" s="119">
        <v>2313</v>
      </c>
      <c r="I17" s="21">
        <f>H17-G17</f>
        <v>4.549608508014899</v>
      </c>
    </row>
    <row r="18" spans="1:10" s="8" customFormat="1" ht="15">
      <c r="A18" s="104" t="s">
        <v>224</v>
      </c>
      <c r="B18" s="85"/>
      <c r="C18" s="85"/>
      <c r="D18" s="22">
        <v>2990</v>
      </c>
      <c r="E18" s="84">
        <f t="shared" si="1"/>
        <v>9.337451705713113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379.29999999999995</v>
      </c>
      <c r="C19" s="86"/>
      <c r="D19" s="86">
        <f>SUM(D4:D18)</f>
        <v>12165</v>
      </c>
      <c r="E19" s="1">
        <v>37.99</v>
      </c>
      <c r="F19" s="113"/>
      <c r="G19" s="28"/>
      <c r="H19" s="28"/>
      <c r="I19" s="28"/>
    </row>
    <row r="21" ht="18.75" customHeight="1">
      <c r="A21" s="130" t="s">
        <v>686</v>
      </c>
    </row>
    <row r="22" spans="1:3" ht="31.5">
      <c r="A22" s="133" t="s">
        <v>418</v>
      </c>
      <c r="B22" s="140"/>
      <c r="C22" s="139" t="s">
        <v>755</v>
      </c>
    </row>
    <row r="23" spans="1:3" ht="31.5">
      <c r="A23" s="117" t="s">
        <v>155</v>
      </c>
      <c r="B23" s="140"/>
      <c r="C23" s="138" t="s">
        <v>756</v>
      </c>
    </row>
    <row r="24" spans="1:3" ht="31.5">
      <c r="A24" s="117" t="s">
        <v>735</v>
      </c>
      <c r="B24" s="140"/>
      <c r="C24" s="138" t="s">
        <v>757</v>
      </c>
    </row>
    <row r="25" spans="1:3" ht="31.5">
      <c r="A25" s="117" t="s">
        <v>694</v>
      </c>
      <c r="B25" s="140"/>
      <c r="C25" s="138" t="s">
        <v>758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42325</v>
      </c>
      <c r="C1" s="10"/>
      <c r="D1" s="10"/>
      <c r="E1" s="10"/>
      <c r="F1" s="11" t="s">
        <v>206</v>
      </c>
      <c r="G1" s="106">
        <v>71.16</v>
      </c>
      <c r="H1" s="8" t="s">
        <v>207</v>
      </c>
    </row>
    <row r="2" s="8" customFormat="1" ht="23.25" customHeight="1">
      <c r="A2" s="33" t="s">
        <v>763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694</v>
      </c>
      <c r="B4" s="22">
        <v>9.58</v>
      </c>
      <c r="C4" s="22">
        <f aca="true" t="shared" si="0" ref="C4:C10">B4*0.1</f>
        <v>0.9580000000000001</v>
      </c>
      <c r="D4" s="22">
        <v>65</v>
      </c>
      <c r="E4" s="84">
        <f aca="true" t="shared" si="1" ref="E4:E11">D4/$D$12*$E$12</f>
        <v>0.3349663425579656</v>
      </c>
      <c r="F4" s="84">
        <f aca="true" t="shared" si="2" ref="F4:F10">B4+E4+C4</f>
        <v>10.872966342557966</v>
      </c>
      <c r="G4" s="19">
        <f aca="true" t="shared" si="3" ref="G4:G10">F4*$G$1</f>
        <v>773.7202849364248</v>
      </c>
      <c r="H4" s="132">
        <v>777</v>
      </c>
      <c r="I4" s="21">
        <f aca="true" t="shared" si="4" ref="I4:I10">H4-G4</f>
        <v>3.2797150635751677</v>
      </c>
    </row>
    <row r="5" spans="1:9" s="15" customFormat="1" ht="15">
      <c r="A5" s="103" t="s">
        <v>409</v>
      </c>
      <c r="B5" s="22">
        <v>17.42</v>
      </c>
      <c r="C5" s="22">
        <f t="shared" si="0"/>
        <v>1.7420000000000002</v>
      </c>
      <c r="D5" s="22">
        <v>100</v>
      </c>
      <c r="E5" s="84">
        <f t="shared" si="1"/>
        <v>0.5153328347045625</v>
      </c>
      <c r="F5" s="84">
        <f t="shared" si="2"/>
        <v>19.677332834704565</v>
      </c>
      <c r="G5" s="19">
        <f t="shared" si="3"/>
        <v>1400.2390045175769</v>
      </c>
      <c r="H5" s="132">
        <v>1410</v>
      </c>
      <c r="I5" s="21">
        <f t="shared" si="4"/>
        <v>9.76099548242314</v>
      </c>
    </row>
    <row r="6" spans="1:9" s="8" customFormat="1" ht="15">
      <c r="A6" s="104" t="s">
        <v>155</v>
      </c>
      <c r="B6" s="22">
        <v>3.75</v>
      </c>
      <c r="C6" s="22">
        <f t="shared" si="0"/>
        <v>0.375</v>
      </c>
      <c r="D6" s="22">
        <v>20</v>
      </c>
      <c r="E6" s="84">
        <f t="shared" si="1"/>
        <v>0.1030665669409125</v>
      </c>
      <c r="F6" s="84">
        <f t="shared" si="2"/>
        <v>4.228066566940912</v>
      </c>
      <c r="G6" s="19">
        <f t="shared" si="3"/>
        <v>300.8692169035153</v>
      </c>
      <c r="H6" s="132">
        <v>303</v>
      </c>
      <c r="I6" s="21">
        <f t="shared" si="4"/>
        <v>2.13078309648472</v>
      </c>
    </row>
    <row r="7" spans="1:9" s="15" customFormat="1" ht="15">
      <c r="A7" s="103" t="s">
        <v>418</v>
      </c>
      <c r="B7" s="22">
        <v>129.2</v>
      </c>
      <c r="C7" s="22">
        <f t="shared" si="0"/>
        <v>12.92</v>
      </c>
      <c r="D7" s="22">
        <v>1100</v>
      </c>
      <c r="E7" s="84">
        <f t="shared" si="1"/>
        <v>5.6686611817501875</v>
      </c>
      <c r="F7" s="84">
        <f t="shared" si="2"/>
        <v>147.78866118175017</v>
      </c>
      <c r="G7" s="19">
        <f t="shared" si="3"/>
        <v>10516.641129693342</v>
      </c>
      <c r="H7" s="132">
        <v>10598</v>
      </c>
      <c r="I7" s="21">
        <f t="shared" si="4"/>
        <v>81.35887030665799</v>
      </c>
    </row>
    <row r="8" spans="1:9" s="15" customFormat="1" ht="15">
      <c r="A8" s="103" t="s">
        <v>764</v>
      </c>
      <c r="B8" s="22">
        <v>17.5</v>
      </c>
      <c r="C8" s="22">
        <f t="shared" si="0"/>
        <v>1.75</v>
      </c>
      <c r="D8" s="22">
        <v>730</v>
      </c>
      <c r="E8" s="84">
        <f t="shared" si="1"/>
        <v>3.761929693343306</v>
      </c>
      <c r="F8" s="84">
        <f t="shared" si="2"/>
        <v>23.011929693343305</v>
      </c>
      <c r="G8" s="19">
        <f t="shared" si="3"/>
        <v>1637.5289169783096</v>
      </c>
      <c r="H8" s="119">
        <f>1628+10</f>
        <v>1638</v>
      </c>
      <c r="I8" s="21">
        <f t="shared" si="4"/>
        <v>0.4710830216904469</v>
      </c>
    </row>
    <row r="9" spans="1:9" s="15" customFormat="1" ht="15">
      <c r="A9" s="103" t="s">
        <v>188</v>
      </c>
      <c r="B9" s="22">
        <v>14.58</v>
      </c>
      <c r="C9" s="22">
        <f t="shared" si="0"/>
        <v>1.4580000000000002</v>
      </c>
      <c r="D9" s="22">
        <v>75</v>
      </c>
      <c r="E9" s="84">
        <f t="shared" si="1"/>
        <v>0.38649962602842186</v>
      </c>
      <c r="F9" s="84">
        <f t="shared" si="2"/>
        <v>16.42449962602842</v>
      </c>
      <c r="G9" s="19">
        <f t="shared" si="3"/>
        <v>1168.7673933881824</v>
      </c>
      <c r="H9" s="119">
        <v>1167</v>
      </c>
      <c r="I9" s="21">
        <f t="shared" si="4"/>
        <v>-1.7673933881824269</v>
      </c>
    </row>
    <row r="10" spans="1:9" s="8" customFormat="1" ht="15">
      <c r="A10" s="104" t="s">
        <v>765</v>
      </c>
      <c r="B10" s="22">
        <v>31.52</v>
      </c>
      <c r="C10" s="22">
        <f t="shared" si="0"/>
        <v>3.152</v>
      </c>
      <c r="D10" s="22">
        <v>790</v>
      </c>
      <c r="E10" s="84">
        <f t="shared" si="1"/>
        <v>4.071129394166044</v>
      </c>
      <c r="F10" s="84">
        <f t="shared" si="2"/>
        <v>38.74312939416605</v>
      </c>
      <c r="G10" s="19">
        <f t="shared" si="3"/>
        <v>2756.961087688856</v>
      </c>
      <c r="H10" s="119">
        <v>2790</v>
      </c>
      <c r="I10" s="21">
        <f t="shared" si="4"/>
        <v>33.03891231114403</v>
      </c>
    </row>
    <row r="11" spans="1:10" s="8" customFormat="1" ht="15">
      <c r="A11" s="104" t="s">
        <v>224</v>
      </c>
      <c r="B11" s="85"/>
      <c r="C11" s="85"/>
      <c r="D11" s="22">
        <v>10490</v>
      </c>
      <c r="E11" s="84">
        <f t="shared" si="1"/>
        <v>54.0584143605086</v>
      </c>
      <c r="F11" s="85"/>
      <c r="G11" s="28"/>
      <c r="H11" s="28"/>
      <c r="I11" s="28"/>
      <c r="J11" s="32"/>
    </row>
    <row r="12" spans="1:9" s="8" customFormat="1" ht="15">
      <c r="A12" s="25"/>
      <c r="B12" s="86">
        <f>SUM(B4:B11)</f>
        <v>223.55</v>
      </c>
      <c r="C12" s="86"/>
      <c r="D12" s="86">
        <f>SUM(D4:D11)</f>
        <v>13370</v>
      </c>
      <c r="E12" s="1">
        <v>68.9</v>
      </c>
      <c r="F12" s="113"/>
      <c r="G12" s="28"/>
      <c r="H12" s="28"/>
      <c r="I12" s="28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42332</v>
      </c>
      <c r="C1" s="10"/>
      <c r="D1" s="10"/>
      <c r="E1" s="10"/>
      <c r="F1" s="11" t="s">
        <v>206</v>
      </c>
      <c r="G1" s="106">
        <v>72.21</v>
      </c>
      <c r="H1" s="8" t="s">
        <v>207</v>
      </c>
    </row>
    <row r="2" s="8" customFormat="1" ht="23.25" customHeight="1">
      <c r="A2" s="33" t="s">
        <v>767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614</v>
      </c>
      <c r="B4" s="22">
        <v>13.25</v>
      </c>
      <c r="C4" s="22">
        <f aca="true" t="shared" si="0" ref="C4:C10">B4*0.1</f>
        <v>1.3250000000000002</v>
      </c>
      <c r="D4" s="22">
        <v>50</v>
      </c>
      <c r="E4" s="84">
        <f aca="true" t="shared" si="1" ref="E4:E12">D4/$D$13*$E$13</f>
        <v>0.25109329446064144</v>
      </c>
      <c r="F4" s="84">
        <f aca="true" t="shared" si="2" ref="F4:F10">B4+E4+C4</f>
        <v>14.826093294460641</v>
      </c>
      <c r="G4" s="19">
        <f aca="true" t="shared" si="3" ref="G4:G10">F4*$G$1</f>
        <v>1070.5921967930028</v>
      </c>
      <c r="H4" s="132">
        <f>1037+18</f>
        <v>1055</v>
      </c>
      <c r="I4" s="21">
        <f aca="true" t="shared" si="4" ref="I4:I10">H4-G4</f>
        <v>-15.592196793002813</v>
      </c>
    </row>
    <row r="5" spans="1:9" s="15" customFormat="1" ht="15">
      <c r="A5" s="103" t="s">
        <v>768</v>
      </c>
      <c r="B5" s="22">
        <v>6.25</v>
      </c>
      <c r="C5" s="22">
        <f t="shared" si="0"/>
        <v>0.625</v>
      </c>
      <c r="D5" s="22">
        <v>235</v>
      </c>
      <c r="E5" s="84">
        <f t="shared" si="1"/>
        <v>1.1801384839650146</v>
      </c>
      <c r="F5" s="84">
        <f t="shared" si="2"/>
        <v>8.055138483965015</v>
      </c>
      <c r="G5" s="19">
        <f t="shared" si="3"/>
        <v>581.6615499271137</v>
      </c>
      <c r="H5" s="132">
        <v>575</v>
      </c>
      <c r="I5" s="21">
        <f t="shared" si="4"/>
        <v>-6.661549927113697</v>
      </c>
    </row>
    <row r="6" spans="1:9" s="8" customFormat="1" ht="15">
      <c r="A6" s="104" t="s">
        <v>127</v>
      </c>
      <c r="B6" s="22">
        <v>8.25</v>
      </c>
      <c r="C6" s="22">
        <f t="shared" si="0"/>
        <v>0.8250000000000001</v>
      </c>
      <c r="D6" s="22">
        <v>270</v>
      </c>
      <c r="E6" s="84">
        <f t="shared" si="1"/>
        <v>1.3559037900874638</v>
      </c>
      <c r="F6" s="84">
        <f t="shared" si="2"/>
        <v>10.430903790087463</v>
      </c>
      <c r="G6" s="19">
        <f t="shared" si="3"/>
        <v>753.2155626822156</v>
      </c>
      <c r="H6" s="132">
        <v>739</v>
      </c>
      <c r="I6" s="21">
        <f t="shared" si="4"/>
        <v>-14.215562682215591</v>
      </c>
    </row>
    <row r="7" spans="1:9" s="15" customFormat="1" ht="15">
      <c r="A7" s="103" t="s">
        <v>190</v>
      </c>
      <c r="B7" s="22">
        <v>9.08</v>
      </c>
      <c r="C7" s="22">
        <f t="shared" si="0"/>
        <v>0.908</v>
      </c>
      <c r="D7" s="22">
        <v>500</v>
      </c>
      <c r="E7" s="84">
        <f t="shared" si="1"/>
        <v>2.5109329446064144</v>
      </c>
      <c r="F7" s="84">
        <f t="shared" si="2"/>
        <v>12.498932944606414</v>
      </c>
      <c r="G7" s="19">
        <f t="shared" si="3"/>
        <v>902.5479479300291</v>
      </c>
      <c r="H7" s="132">
        <v>903</v>
      </c>
      <c r="I7" s="21">
        <f t="shared" si="4"/>
        <v>0.4520520699709323</v>
      </c>
    </row>
    <row r="8" spans="1:9" s="15" customFormat="1" ht="15">
      <c r="A8" s="103" t="s">
        <v>769</v>
      </c>
      <c r="B8" s="22">
        <v>9.84</v>
      </c>
      <c r="C8" s="22">
        <f t="shared" si="0"/>
        <v>0.984</v>
      </c>
      <c r="D8" s="22">
        <v>50</v>
      </c>
      <c r="E8" s="84">
        <f t="shared" si="1"/>
        <v>0.25109329446064144</v>
      </c>
      <c r="F8" s="84">
        <f t="shared" si="2"/>
        <v>11.075093294460642</v>
      </c>
      <c r="G8" s="19">
        <f t="shared" si="3"/>
        <v>799.7324867930029</v>
      </c>
      <c r="H8" s="119">
        <v>789</v>
      </c>
      <c r="I8" s="21">
        <f t="shared" si="4"/>
        <v>-10.732486793002863</v>
      </c>
    </row>
    <row r="9" spans="1:9" s="15" customFormat="1" ht="15">
      <c r="A9" s="103" t="s">
        <v>770</v>
      </c>
      <c r="B9" s="22">
        <v>20.16</v>
      </c>
      <c r="C9" s="22">
        <f t="shared" si="0"/>
        <v>2.016</v>
      </c>
      <c r="D9" s="22">
        <v>390</v>
      </c>
      <c r="E9" s="84">
        <f t="shared" si="1"/>
        <v>1.958527696793003</v>
      </c>
      <c r="F9" s="84">
        <f t="shared" si="2"/>
        <v>24.134527696793</v>
      </c>
      <c r="G9" s="19">
        <f t="shared" si="3"/>
        <v>1742.7542449854225</v>
      </c>
      <c r="H9" s="119">
        <f>1721+20</f>
        <v>1741</v>
      </c>
      <c r="I9" s="21">
        <f t="shared" si="4"/>
        <v>-1.7542449854224742</v>
      </c>
    </row>
    <row r="10" spans="1:9" s="8" customFormat="1" ht="15">
      <c r="A10" s="104" t="s">
        <v>418</v>
      </c>
      <c r="B10" s="22">
        <v>129.2</v>
      </c>
      <c r="C10" s="22">
        <f t="shared" si="0"/>
        <v>12.92</v>
      </c>
      <c r="D10" s="22">
        <v>1100</v>
      </c>
      <c r="E10" s="84">
        <f t="shared" si="1"/>
        <v>5.524052478134111</v>
      </c>
      <c r="F10" s="84">
        <f t="shared" si="2"/>
        <v>147.64405247813409</v>
      </c>
      <c r="G10" s="19">
        <f t="shared" si="3"/>
        <v>10661.377029446061</v>
      </c>
      <c r="H10" s="119">
        <v>10552</v>
      </c>
      <c r="I10" s="21">
        <f t="shared" si="4"/>
        <v>-109.37702944606099</v>
      </c>
    </row>
    <row r="11" spans="1:9" s="8" customFormat="1" ht="15">
      <c r="A11" s="104" t="s">
        <v>715</v>
      </c>
      <c r="B11" s="22">
        <v>84.35</v>
      </c>
      <c r="C11" s="22">
        <f>B11*0.1</f>
        <v>8.435</v>
      </c>
      <c r="D11" s="22">
        <v>1445</v>
      </c>
      <c r="E11" s="84">
        <f>D11/$D$13*$E$13</f>
        <v>7.256596209912537</v>
      </c>
      <c r="F11" s="84">
        <f>B11+E11+C11</f>
        <v>100.04159620991254</v>
      </c>
      <c r="G11" s="19">
        <f>F11*$G$1</f>
        <v>7224.003662317784</v>
      </c>
      <c r="H11" s="119">
        <f>7089+135</f>
        <v>7224</v>
      </c>
      <c r="I11" s="21">
        <f>H11-G11</f>
        <v>-0.003662317783891922</v>
      </c>
    </row>
    <row r="12" spans="1:10" s="8" customFormat="1" ht="15">
      <c r="A12" s="104" t="s">
        <v>224</v>
      </c>
      <c r="B12" s="85"/>
      <c r="C12" s="85"/>
      <c r="D12" s="22">
        <v>9680</v>
      </c>
      <c r="E12" s="84">
        <f t="shared" si="1"/>
        <v>48.611661807580184</v>
      </c>
      <c r="F12" s="85"/>
      <c r="G12" s="28"/>
      <c r="H12" s="28"/>
      <c r="I12" s="28"/>
      <c r="J12" s="32"/>
    </row>
    <row r="13" spans="1:9" s="8" customFormat="1" ht="15">
      <c r="A13" s="25"/>
      <c r="B13" s="86"/>
      <c r="C13" s="86"/>
      <c r="D13" s="86">
        <f>SUM(D4:D12)</f>
        <v>13720</v>
      </c>
      <c r="E13" s="1">
        <v>68.9</v>
      </c>
      <c r="F13" s="113"/>
      <c r="G13" s="28"/>
      <c r="H13" s="28"/>
      <c r="I13" s="28"/>
    </row>
    <row r="16" ht="21">
      <c r="A16" s="130"/>
    </row>
    <row r="17" ht="21">
      <c r="A17" s="130"/>
    </row>
    <row r="18" ht="18.75" customHeight="1">
      <c r="A18" s="13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42341</v>
      </c>
      <c r="C1" s="10"/>
      <c r="D1" s="10"/>
      <c r="E1" s="10"/>
      <c r="F1" s="11" t="s">
        <v>206</v>
      </c>
      <c r="G1" s="106">
        <v>77.35</v>
      </c>
      <c r="H1" s="8" t="s">
        <v>207</v>
      </c>
    </row>
    <row r="2" s="8" customFormat="1" ht="23.25" customHeight="1">
      <c r="A2" s="33" t="s">
        <v>771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95</v>
      </c>
      <c r="B4" s="22">
        <v>24.92</v>
      </c>
      <c r="C4" s="22">
        <f aca="true" t="shared" si="0" ref="C4:C10">B4*0.1</f>
        <v>2.4920000000000004</v>
      </c>
      <c r="D4" s="22">
        <v>110</v>
      </c>
      <c r="E4" s="84">
        <f aca="true" t="shared" si="1" ref="E4:E11">D4/$D$12*$E$12</f>
        <v>0.5548316251830162</v>
      </c>
      <c r="F4" s="84">
        <f aca="true" t="shared" si="2" ref="F4:F10">B4+E4+C4</f>
        <v>27.96683162518302</v>
      </c>
      <c r="G4" s="19">
        <f aca="true" t="shared" si="3" ref="G4:G10">F4*$G$1</f>
        <v>2163.2344262079064</v>
      </c>
      <c r="H4" s="132">
        <f>2036+127</f>
        <v>2163</v>
      </c>
      <c r="I4" s="21">
        <f aca="true" t="shared" si="4" ref="I4:I10">H4-G4</f>
        <v>-0.23442620790638102</v>
      </c>
    </row>
    <row r="5" spans="1:9" s="15" customFormat="1" ht="15">
      <c r="A5" s="103" t="s">
        <v>115</v>
      </c>
      <c r="B5" s="22">
        <v>8.25</v>
      </c>
      <c r="C5" s="22">
        <f t="shared" si="0"/>
        <v>0.8250000000000001</v>
      </c>
      <c r="D5" s="22">
        <v>240</v>
      </c>
      <c r="E5" s="84">
        <f t="shared" si="1"/>
        <v>1.2105417276720352</v>
      </c>
      <c r="F5" s="84">
        <f t="shared" si="2"/>
        <v>10.285541727672035</v>
      </c>
      <c r="G5" s="19">
        <f t="shared" si="3"/>
        <v>795.5866526354318</v>
      </c>
      <c r="H5" s="132">
        <v>763</v>
      </c>
      <c r="I5" s="21">
        <f t="shared" si="4"/>
        <v>-32.58665263543185</v>
      </c>
    </row>
    <row r="6" spans="1:9" s="8" customFormat="1" ht="15">
      <c r="A6" s="104" t="s">
        <v>772</v>
      </c>
      <c r="B6" s="22">
        <v>10.17</v>
      </c>
      <c r="C6" s="22">
        <f t="shared" si="0"/>
        <v>1.0170000000000001</v>
      </c>
      <c r="D6" s="22">
        <v>1150</v>
      </c>
      <c r="E6" s="84">
        <f t="shared" si="1"/>
        <v>5.800512445095169</v>
      </c>
      <c r="F6" s="84">
        <f t="shared" si="2"/>
        <v>16.98751244509517</v>
      </c>
      <c r="G6" s="19">
        <f t="shared" si="3"/>
        <v>1313.9840876281114</v>
      </c>
      <c r="H6" s="132">
        <v>1280</v>
      </c>
      <c r="I6" s="21">
        <f t="shared" si="4"/>
        <v>-33.98408762811141</v>
      </c>
    </row>
    <row r="7" spans="1:9" s="15" customFormat="1" ht="15">
      <c r="A7" s="103" t="s">
        <v>773</v>
      </c>
      <c r="B7" s="22">
        <v>16.58</v>
      </c>
      <c r="C7" s="22">
        <f t="shared" si="0"/>
        <v>1.658</v>
      </c>
      <c r="D7" s="22">
        <v>1150</v>
      </c>
      <c r="E7" s="84">
        <f t="shared" si="1"/>
        <v>5.800512445095169</v>
      </c>
      <c r="F7" s="84">
        <f t="shared" si="2"/>
        <v>24.03851244509517</v>
      </c>
      <c r="G7" s="19">
        <f t="shared" si="3"/>
        <v>1859.378937628111</v>
      </c>
      <c r="H7" s="119">
        <f>1798+31</f>
        <v>1829</v>
      </c>
      <c r="I7" s="21">
        <f t="shared" si="4"/>
        <v>-30.37893762811109</v>
      </c>
    </row>
    <row r="8" spans="1:9" s="15" customFormat="1" ht="15">
      <c r="A8" s="103" t="s">
        <v>774</v>
      </c>
      <c r="B8" s="22">
        <v>10.42</v>
      </c>
      <c r="C8" s="22">
        <f t="shared" si="0"/>
        <v>1.042</v>
      </c>
      <c r="D8" s="22">
        <v>570</v>
      </c>
      <c r="E8" s="84">
        <f t="shared" si="1"/>
        <v>2.875036603221084</v>
      </c>
      <c r="F8" s="84">
        <f t="shared" si="2"/>
        <v>14.337036603221083</v>
      </c>
      <c r="G8" s="19">
        <f t="shared" si="3"/>
        <v>1108.9697812591507</v>
      </c>
      <c r="H8" s="119">
        <f>1070+39</f>
        <v>1109</v>
      </c>
      <c r="I8" s="21">
        <f t="shared" si="4"/>
        <v>0.030218740849250025</v>
      </c>
    </row>
    <row r="9" spans="1:9" s="15" customFormat="1" ht="15">
      <c r="A9" s="103" t="s">
        <v>512</v>
      </c>
      <c r="B9" s="22">
        <v>31.5</v>
      </c>
      <c r="C9" s="22">
        <f t="shared" si="0"/>
        <v>3.1500000000000004</v>
      </c>
      <c r="D9" s="22">
        <v>1850</v>
      </c>
      <c r="E9" s="84">
        <f t="shared" si="1"/>
        <v>9.331259150805272</v>
      </c>
      <c r="F9" s="84">
        <f t="shared" si="2"/>
        <v>43.98125915080527</v>
      </c>
      <c r="G9" s="19">
        <f t="shared" si="3"/>
        <v>3401.9503953147873</v>
      </c>
      <c r="H9" s="119">
        <f>3239+163</f>
        <v>3402</v>
      </c>
      <c r="I9" s="21">
        <f t="shared" si="4"/>
        <v>0.04960468521267103</v>
      </c>
    </row>
    <row r="10" spans="1:9" s="8" customFormat="1" ht="15">
      <c r="A10" s="104" t="s">
        <v>775</v>
      </c>
      <c r="B10" s="22">
        <v>22.93</v>
      </c>
      <c r="C10" s="22">
        <f t="shared" si="0"/>
        <v>2.293</v>
      </c>
      <c r="D10" s="22">
        <v>400</v>
      </c>
      <c r="E10" s="84">
        <f t="shared" si="1"/>
        <v>2.017569546120059</v>
      </c>
      <c r="F10" s="84">
        <f t="shared" si="2"/>
        <v>27.240569546120057</v>
      </c>
      <c r="G10" s="19">
        <f t="shared" si="3"/>
        <v>2107.058054392386</v>
      </c>
      <c r="H10" s="119">
        <f>2000+100</f>
        <v>2100</v>
      </c>
      <c r="I10" s="21">
        <f t="shared" si="4"/>
        <v>-7.058054392386111</v>
      </c>
    </row>
    <row r="11" spans="1:10" s="8" customFormat="1" ht="15">
      <c r="A11" s="104" t="s">
        <v>224</v>
      </c>
      <c r="B11" s="85"/>
      <c r="C11" s="85"/>
      <c r="D11" s="22">
        <v>8190</v>
      </c>
      <c r="E11" s="84">
        <f t="shared" si="1"/>
        <v>41.3097364568082</v>
      </c>
      <c r="F11" s="85"/>
      <c r="G11" s="28"/>
      <c r="H11" s="28"/>
      <c r="I11" s="28"/>
      <c r="J11" s="32"/>
    </row>
    <row r="12" spans="1:9" s="8" customFormat="1" ht="15">
      <c r="A12" s="25"/>
      <c r="B12" s="86"/>
      <c r="C12" s="86"/>
      <c r="D12" s="86">
        <f>SUM(D4:D11)</f>
        <v>13660</v>
      </c>
      <c r="E12" s="1">
        <v>68.9</v>
      </c>
      <c r="F12" s="113"/>
      <c r="G12" s="28"/>
      <c r="H12" s="28"/>
      <c r="I12" s="28"/>
    </row>
    <row r="15" ht="18.75" customHeight="1">
      <c r="A15" s="130" t="s">
        <v>686</v>
      </c>
    </row>
    <row r="16" spans="1:2" ht="31.5">
      <c r="A16" s="117" t="s">
        <v>776</v>
      </c>
      <c r="B16" s="141" t="s">
        <v>777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42348</v>
      </c>
      <c r="C1" s="10"/>
      <c r="D1" s="10"/>
      <c r="E1" s="10"/>
      <c r="F1" s="11" t="s">
        <v>206</v>
      </c>
      <c r="G1" s="106">
        <v>78.22</v>
      </c>
      <c r="H1" s="8" t="s">
        <v>207</v>
      </c>
    </row>
    <row r="2" s="8" customFormat="1" ht="23.25" customHeight="1">
      <c r="A2" s="33" t="s">
        <v>778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416</v>
      </c>
      <c r="B4" s="22">
        <v>12.08</v>
      </c>
      <c r="C4" s="22">
        <f aca="true" t="shared" si="0" ref="C4:C10">B4*0.1</f>
        <v>1.2080000000000002</v>
      </c>
      <c r="D4" s="22">
        <v>260</v>
      </c>
      <c r="E4" s="84">
        <f aca="true" t="shared" si="1" ref="E4:E12">D4/$D$13*$E$13</f>
        <v>1.275925925925926</v>
      </c>
      <c r="F4" s="84">
        <f>B4+E4+C4</f>
        <v>14.563925925925925</v>
      </c>
      <c r="G4" s="19">
        <f>F4*$G$1</f>
        <v>1139.1902859259258</v>
      </c>
      <c r="H4" s="132">
        <v>1127</v>
      </c>
      <c r="I4" s="21">
        <f aca="true" t="shared" si="2" ref="I4:I10">H4-G4</f>
        <v>-12.190285925925764</v>
      </c>
    </row>
    <row r="5" spans="1:9" s="15" customFormat="1" ht="15">
      <c r="A5" s="103" t="s">
        <v>770</v>
      </c>
      <c r="B5" s="22">
        <v>14.67</v>
      </c>
      <c r="C5" s="22">
        <f t="shared" si="0"/>
        <v>1.467</v>
      </c>
      <c r="D5" s="22">
        <v>670</v>
      </c>
      <c r="E5" s="84">
        <f t="shared" si="1"/>
        <v>3.2879629629629634</v>
      </c>
      <c r="F5" s="84">
        <f aca="true" t="shared" si="3" ref="F5:F10">B5+E5+C5</f>
        <v>19.42496296296296</v>
      </c>
      <c r="G5" s="19">
        <f aca="true" t="shared" si="4" ref="G5:G10">F5*$G$1</f>
        <v>1519.420602962963</v>
      </c>
      <c r="H5" s="142">
        <v>1521</v>
      </c>
      <c r="I5" s="21">
        <f t="shared" si="2"/>
        <v>1.579397037037097</v>
      </c>
    </row>
    <row r="6" spans="1:9" s="8" customFormat="1" ht="15">
      <c r="A6" s="104" t="s">
        <v>780</v>
      </c>
      <c r="B6" s="22">
        <v>26.32</v>
      </c>
      <c r="C6" s="22">
        <f t="shared" si="0"/>
        <v>2.632</v>
      </c>
      <c r="D6" s="22">
        <v>360</v>
      </c>
      <c r="E6" s="84">
        <f t="shared" si="1"/>
        <v>1.7666666666666668</v>
      </c>
      <c r="F6" s="84">
        <f t="shared" si="3"/>
        <v>30.718666666666667</v>
      </c>
      <c r="G6" s="19">
        <f t="shared" si="4"/>
        <v>2402.8141066666667</v>
      </c>
      <c r="H6" s="132">
        <v>2367</v>
      </c>
      <c r="I6" s="21">
        <f t="shared" si="2"/>
        <v>-35.8141066666667</v>
      </c>
    </row>
    <row r="7" spans="1:9" s="15" customFormat="1" ht="15">
      <c r="A7" s="103" t="s">
        <v>174</v>
      </c>
      <c r="B7" s="22">
        <v>34.02</v>
      </c>
      <c r="C7" s="22">
        <f t="shared" si="0"/>
        <v>3.4020000000000006</v>
      </c>
      <c r="D7" s="22">
        <v>930</v>
      </c>
      <c r="E7" s="84">
        <f t="shared" si="1"/>
        <v>4.563888888888889</v>
      </c>
      <c r="F7" s="84">
        <f t="shared" si="3"/>
        <v>41.985888888888894</v>
      </c>
      <c r="G7" s="19">
        <f t="shared" si="4"/>
        <v>3284.136228888889</v>
      </c>
      <c r="H7" s="119">
        <v>3257</v>
      </c>
      <c r="I7" s="21">
        <f t="shared" si="2"/>
        <v>-27.136228888889036</v>
      </c>
    </row>
    <row r="8" spans="1:9" s="15" customFormat="1" ht="15">
      <c r="A8" s="103" t="s">
        <v>705</v>
      </c>
      <c r="B8" s="22">
        <v>5.75</v>
      </c>
      <c r="C8" s="22">
        <f t="shared" si="0"/>
        <v>0.5750000000000001</v>
      </c>
      <c r="D8" s="22">
        <v>570</v>
      </c>
      <c r="E8" s="84">
        <f t="shared" si="1"/>
        <v>2.7972222222222225</v>
      </c>
      <c r="F8" s="84">
        <f t="shared" si="3"/>
        <v>9.122222222222222</v>
      </c>
      <c r="G8" s="19">
        <f t="shared" si="4"/>
        <v>713.5402222222222</v>
      </c>
      <c r="H8" s="119">
        <v>627</v>
      </c>
      <c r="I8" s="21">
        <f t="shared" si="2"/>
        <v>-86.54022222222216</v>
      </c>
    </row>
    <row r="9" spans="1:9" s="15" customFormat="1" ht="15">
      <c r="A9" s="103" t="s">
        <v>781</v>
      </c>
      <c r="B9" s="22">
        <v>23.5</v>
      </c>
      <c r="C9" s="22">
        <f t="shared" si="0"/>
        <v>2.35</v>
      </c>
      <c r="D9" s="22">
        <v>855</v>
      </c>
      <c r="E9" s="84">
        <f t="shared" si="1"/>
        <v>4.195833333333334</v>
      </c>
      <c r="F9" s="84">
        <f t="shared" si="3"/>
        <v>30.045833333333334</v>
      </c>
      <c r="G9" s="19">
        <f t="shared" si="4"/>
        <v>2350.1850833333333</v>
      </c>
      <c r="H9" s="119">
        <f>2286+64</f>
        <v>2350</v>
      </c>
      <c r="I9" s="21">
        <f t="shared" si="2"/>
        <v>-0.18508333333329574</v>
      </c>
    </row>
    <row r="10" spans="1:9" s="8" customFormat="1" ht="15">
      <c r="A10" s="104" t="s">
        <v>569</v>
      </c>
      <c r="B10" s="22">
        <v>9.08</v>
      </c>
      <c r="C10" s="22">
        <f t="shared" si="0"/>
        <v>0.908</v>
      </c>
      <c r="D10" s="22">
        <v>100</v>
      </c>
      <c r="E10" s="84">
        <f t="shared" si="1"/>
        <v>0.4907407407407408</v>
      </c>
      <c r="F10" s="84">
        <f t="shared" si="3"/>
        <v>10.47874074074074</v>
      </c>
      <c r="G10" s="19">
        <f t="shared" si="4"/>
        <v>819.6471007407407</v>
      </c>
      <c r="H10" s="119">
        <v>808</v>
      </c>
      <c r="I10" s="21">
        <f t="shared" si="2"/>
        <v>-11.647100740740711</v>
      </c>
    </row>
    <row r="11" spans="1:9" s="8" customFormat="1" ht="15">
      <c r="A11" s="104" t="s">
        <v>782</v>
      </c>
      <c r="B11" s="22">
        <v>6.25</v>
      </c>
      <c r="C11" s="22">
        <f>B11*0.1</f>
        <v>0.625</v>
      </c>
      <c r="D11" s="22">
        <v>180</v>
      </c>
      <c r="E11" s="84">
        <f>D11/$D$13*$E$13</f>
        <v>0.8833333333333334</v>
      </c>
      <c r="F11" s="84">
        <f>B11+E11+C11</f>
        <v>7.758333333333334</v>
      </c>
      <c r="G11" s="19">
        <f>F11*$G$1</f>
        <v>606.8568333333334</v>
      </c>
      <c r="H11" s="119">
        <v>630</v>
      </c>
      <c r="I11" s="21">
        <f>H11-G11</f>
        <v>23.143166666666616</v>
      </c>
    </row>
    <row r="12" spans="1:10" s="8" customFormat="1" ht="15">
      <c r="A12" s="104" t="s">
        <v>224</v>
      </c>
      <c r="B12" s="85"/>
      <c r="C12" s="85"/>
      <c r="D12" s="22">
        <v>10115</v>
      </c>
      <c r="E12" s="84">
        <f t="shared" si="1"/>
        <v>49.63842592592593</v>
      </c>
      <c r="F12" s="85"/>
      <c r="G12" s="28"/>
      <c r="H12" s="28"/>
      <c r="I12" s="28"/>
      <c r="J12" s="32"/>
    </row>
    <row r="13" spans="1:9" s="8" customFormat="1" ht="15">
      <c r="A13" s="25"/>
      <c r="B13" s="86"/>
      <c r="C13" s="86"/>
      <c r="D13" s="86">
        <f>SUM(D4:D12)</f>
        <v>14040</v>
      </c>
      <c r="E13" s="1">
        <v>68.9</v>
      </c>
      <c r="F13" s="113"/>
      <c r="G13" s="28"/>
      <c r="H13" s="28"/>
      <c r="I13" s="28"/>
    </row>
    <row r="16" ht="21">
      <c r="A16" s="130" t="s">
        <v>779</v>
      </c>
    </row>
    <row r="17" ht="21">
      <c r="A17" s="130" t="s">
        <v>698</v>
      </c>
    </row>
    <row r="18" ht="18.75" customHeight="1">
      <c r="A18" s="130" t="s">
        <v>686</v>
      </c>
    </row>
    <row r="19" spans="1:2" ht="31.5">
      <c r="A19" s="117" t="s">
        <v>416</v>
      </c>
      <c r="B19" s="138" t="s">
        <v>783</v>
      </c>
    </row>
    <row r="20" spans="1:2" ht="31.5">
      <c r="A20" s="117" t="s">
        <v>780</v>
      </c>
      <c r="B20" s="138" t="s">
        <v>784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205</v>
      </c>
      <c r="B1" s="10">
        <v>42362</v>
      </c>
      <c r="C1" s="10"/>
      <c r="D1" s="10"/>
      <c r="E1" s="10"/>
      <c r="F1" s="11" t="s">
        <v>206</v>
      </c>
      <c r="G1" s="106">
        <v>82.19</v>
      </c>
      <c r="H1" s="8" t="s">
        <v>207</v>
      </c>
    </row>
    <row r="2" s="8" customFormat="1" ht="23.25" customHeight="1">
      <c r="A2" s="33" t="s">
        <v>786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529</v>
      </c>
      <c r="B4" s="22">
        <v>8.25</v>
      </c>
      <c r="C4" s="22">
        <f aca="true" t="shared" si="0" ref="C4:C10">B4*0.1</f>
        <v>0.8250000000000001</v>
      </c>
      <c r="D4" s="22">
        <v>1160</v>
      </c>
      <c r="E4" s="84">
        <f aca="true" t="shared" si="1" ref="E4:E17">D4/$D$18*$E$18</f>
        <v>5.735486185862936</v>
      </c>
      <c r="F4" s="84">
        <f>B4+E4+C4</f>
        <v>14.810486185862935</v>
      </c>
      <c r="G4" s="19">
        <f>F4*$G$1</f>
        <v>1217.2738596160746</v>
      </c>
      <c r="H4" s="132">
        <f>1188+26</f>
        <v>1214</v>
      </c>
      <c r="I4" s="21">
        <f aca="true" t="shared" si="2" ref="I4:I10">H4-G4</f>
        <v>-3.27385961607456</v>
      </c>
    </row>
    <row r="5" spans="1:9" s="15" customFormat="1" ht="15">
      <c r="A5" s="103" t="s">
        <v>619</v>
      </c>
      <c r="B5" s="22">
        <v>12.42</v>
      </c>
      <c r="C5" s="22">
        <f t="shared" si="0"/>
        <v>1.242</v>
      </c>
      <c r="D5" s="22">
        <v>465</v>
      </c>
      <c r="E5" s="84">
        <f t="shared" si="1"/>
        <v>2.2991388589881594</v>
      </c>
      <c r="F5" s="84">
        <f aca="true" t="shared" si="3" ref="F5:F10">B5+E5+C5</f>
        <v>15.96113885898816</v>
      </c>
      <c r="G5" s="19">
        <f aca="true" t="shared" si="4" ref="G5:G10">F5*$G$1</f>
        <v>1311.846002820237</v>
      </c>
      <c r="H5" s="132">
        <f>1260+58</f>
        <v>1318</v>
      </c>
      <c r="I5" s="21">
        <f t="shared" si="2"/>
        <v>6.15399717976311</v>
      </c>
    </row>
    <row r="6" spans="1:9" s="8" customFormat="1" ht="15">
      <c r="A6" s="104" t="s">
        <v>787</v>
      </c>
      <c r="B6" s="22">
        <v>10.75</v>
      </c>
      <c r="C6" s="22">
        <f t="shared" si="0"/>
        <v>1.075</v>
      </c>
      <c r="D6" s="22">
        <v>180</v>
      </c>
      <c r="E6" s="84">
        <f t="shared" si="1"/>
        <v>0.8899892357373521</v>
      </c>
      <c r="F6" s="84">
        <f t="shared" si="3"/>
        <v>12.71498923573735</v>
      </c>
      <c r="G6" s="19">
        <f t="shared" si="4"/>
        <v>1045.0449652852528</v>
      </c>
      <c r="H6" s="132">
        <f>1022+23</f>
        <v>1045</v>
      </c>
      <c r="I6" s="21">
        <f t="shared" si="2"/>
        <v>-0.044965285252828835</v>
      </c>
    </row>
    <row r="7" spans="1:9" s="15" customFormat="1" ht="15">
      <c r="A7" s="103" t="s">
        <v>788</v>
      </c>
      <c r="B7" s="22">
        <v>10.35</v>
      </c>
      <c r="C7" s="22">
        <f t="shared" si="0"/>
        <v>1.035</v>
      </c>
      <c r="D7" s="22">
        <v>270</v>
      </c>
      <c r="E7" s="84">
        <f t="shared" si="1"/>
        <v>1.3349838536060281</v>
      </c>
      <c r="F7" s="84">
        <f t="shared" si="3"/>
        <v>12.719983853606028</v>
      </c>
      <c r="G7" s="19">
        <f t="shared" si="4"/>
        <v>1045.4554729278793</v>
      </c>
      <c r="H7" s="119">
        <f>1043+34</f>
        <v>1077</v>
      </c>
      <c r="I7" s="21">
        <f t="shared" si="2"/>
        <v>31.544527072120673</v>
      </c>
    </row>
    <row r="8" spans="1:9" s="15" customFormat="1" ht="15">
      <c r="A8" s="103" t="s">
        <v>418</v>
      </c>
      <c r="B8" s="22">
        <v>129.2</v>
      </c>
      <c r="C8" s="22">
        <f t="shared" si="0"/>
        <v>12.92</v>
      </c>
      <c r="D8" s="22">
        <v>1100</v>
      </c>
      <c r="E8" s="84">
        <f t="shared" si="1"/>
        <v>5.4388231072838185</v>
      </c>
      <c r="F8" s="84">
        <f t="shared" si="3"/>
        <v>147.55882310728379</v>
      </c>
      <c r="G8" s="19">
        <f t="shared" si="4"/>
        <v>12127.859671187654</v>
      </c>
      <c r="H8" s="119">
        <f>11684+444</f>
        <v>12128</v>
      </c>
      <c r="I8" s="21">
        <f t="shared" si="2"/>
        <v>0.140328812345615</v>
      </c>
    </row>
    <row r="9" spans="1:9" s="15" customFormat="1" ht="15">
      <c r="A9" s="103" t="s">
        <v>789</v>
      </c>
      <c r="B9" s="22">
        <v>37.42</v>
      </c>
      <c r="C9" s="22">
        <f t="shared" si="0"/>
        <v>3.7420000000000004</v>
      </c>
      <c r="D9" s="22">
        <v>135</v>
      </c>
      <c r="E9" s="84">
        <f t="shared" si="1"/>
        <v>0.6674919268030141</v>
      </c>
      <c r="F9" s="84">
        <f t="shared" si="3"/>
        <v>41.829491926803016</v>
      </c>
      <c r="G9" s="19">
        <f t="shared" si="4"/>
        <v>3437.9659414639395</v>
      </c>
      <c r="H9" s="119">
        <f>3300+138</f>
        <v>3438</v>
      </c>
      <c r="I9" s="21">
        <f t="shared" si="2"/>
        <v>0.03405853606045639</v>
      </c>
    </row>
    <row r="10" spans="1:9" s="8" customFormat="1" ht="15">
      <c r="A10" s="104" t="s">
        <v>549</v>
      </c>
      <c r="B10" s="22">
        <v>9.83</v>
      </c>
      <c r="C10" s="22">
        <f t="shared" si="0"/>
        <v>0.9830000000000001</v>
      </c>
      <c r="D10" s="22">
        <v>630</v>
      </c>
      <c r="E10" s="84">
        <f t="shared" si="1"/>
        <v>3.1149623250807323</v>
      </c>
      <c r="F10" s="84">
        <f t="shared" si="3"/>
        <v>13.927962325080733</v>
      </c>
      <c r="G10" s="19">
        <f t="shared" si="4"/>
        <v>1144.7392234983854</v>
      </c>
      <c r="H10" s="119">
        <v>1150</v>
      </c>
      <c r="I10" s="21">
        <f t="shared" si="2"/>
        <v>5.2607765016146</v>
      </c>
    </row>
    <row r="11" spans="1:9" s="15" customFormat="1" ht="15">
      <c r="A11" s="103" t="s">
        <v>8</v>
      </c>
      <c r="B11" s="22">
        <v>16.58</v>
      </c>
      <c r="C11" s="22">
        <f aca="true" t="shared" si="5" ref="C11:C16">B11*0.1</f>
        <v>1.658</v>
      </c>
      <c r="D11" s="22">
        <v>500</v>
      </c>
      <c r="E11" s="84">
        <f t="shared" si="1"/>
        <v>2.4721923214926447</v>
      </c>
      <c r="F11" s="84">
        <f aca="true" t="shared" si="6" ref="F11:F16">B11+E11+C11</f>
        <v>20.710192321492645</v>
      </c>
      <c r="G11" s="19">
        <f aca="true" t="shared" si="7" ref="G11:G16">F11*$G$1</f>
        <v>1702.1707069034805</v>
      </c>
      <c r="H11" s="132">
        <f>1627+82</f>
        <v>1709</v>
      </c>
      <c r="I11" s="21">
        <f aca="true" t="shared" si="8" ref="I11:I16">H11-G11</f>
        <v>6.82929309651945</v>
      </c>
    </row>
    <row r="12" spans="1:9" s="8" customFormat="1" ht="15">
      <c r="A12" s="104" t="s">
        <v>780</v>
      </c>
      <c r="B12" s="22">
        <v>11.58</v>
      </c>
      <c r="C12" s="22">
        <f t="shared" si="5"/>
        <v>1.1580000000000001</v>
      </c>
      <c r="D12" s="22">
        <v>180</v>
      </c>
      <c r="E12" s="84">
        <f t="shared" si="1"/>
        <v>0.8899892357373521</v>
      </c>
      <c r="F12" s="84">
        <f t="shared" si="6"/>
        <v>13.62798923573735</v>
      </c>
      <c r="G12" s="19">
        <f t="shared" si="7"/>
        <v>1120.0844352852528</v>
      </c>
      <c r="H12" s="132">
        <f>1094.5+61</f>
        <v>1155.5</v>
      </c>
      <c r="I12" s="21">
        <f t="shared" si="8"/>
        <v>35.415564714747234</v>
      </c>
    </row>
    <row r="13" spans="1:9" s="15" customFormat="1" ht="15">
      <c r="A13" s="103" t="s">
        <v>614</v>
      </c>
      <c r="B13" s="22">
        <v>15</v>
      </c>
      <c r="C13" s="22">
        <f t="shared" si="5"/>
        <v>1.5</v>
      </c>
      <c r="D13" s="22">
        <v>60</v>
      </c>
      <c r="E13" s="84">
        <f t="shared" si="1"/>
        <v>0.29666307857911733</v>
      </c>
      <c r="F13" s="84">
        <f t="shared" si="6"/>
        <v>16.796663078579115</v>
      </c>
      <c r="G13" s="19">
        <f t="shared" si="7"/>
        <v>1380.5177384284175</v>
      </c>
      <c r="H13" s="119">
        <f>1325+55</f>
        <v>1380</v>
      </c>
      <c r="I13" s="21">
        <f t="shared" si="8"/>
        <v>-0.5177384284174877</v>
      </c>
    </row>
    <row r="14" spans="1:9" s="15" customFormat="1" ht="15">
      <c r="A14" s="103" t="s">
        <v>694</v>
      </c>
      <c r="B14" s="22">
        <v>42.41</v>
      </c>
      <c r="C14" s="22">
        <f t="shared" si="5"/>
        <v>4.241</v>
      </c>
      <c r="D14" s="22">
        <v>215</v>
      </c>
      <c r="E14" s="84">
        <f t="shared" si="1"/>
        <v>1.063042698241837</v>
      </c>
      <c r="F14" s="84">
        <f t="shared" si="6"/>
        <v>47.71404269824183</v>
      </c>
      <c r="G14" s="19">
        <f t="shared" si="7"/>
        <v>3921.617169368496</v>
      </c>
      <c r="H14" s="119">
        <f>3761+161</f>
        <v>3922</v>
      </c>
      <c r="I14" s="21">
        <f t="shared" si="8"/>
        <v>0.38283063150402086</v>
      </c>
    </row>
    <row r="15" spans="1:9" s="15" customFormat="1" ht="15">
      <c r="A15" s="103" t="s">
        <v>148</v>
      </c>
      <c r="B15" s="22">
        <v>8.25</v>
      </c>
      <c r="C15" s="22">
        <f t="shared" si="5"/>
        <v>0.8250000000000001</v>
      </c>
      <c r="D15" s="22">
        <v>230</v>
      </c>
      <c r="E15" s="84">
        <f t="shared" si="1"/>
        <v>1.1372084678866166</v>
      </c>
      <c r="F15" s="84">
        <f t="shared" si="6"/>
        <v>10.212208467886615</v>
      </c>
      <c r="G15" s="19">
        <f t="shared" si="7"/>
        <v>839.3414139756009</v>
      </c>
      <c r="H15" s="119">
        <v>839</v>
      </c>
      <c r="I15" s="21">
        <f t="shared" si="8"/>
        <v>-0.34141397560085807</v>
      </c>
    </row>
    <row r="16" spans="1:9" s="8" customFormat="1" ht="15">
      <c r="A16" s="104" t="s">
        <v>140</v>
      </c>
      <c r="B16" s="22">
        <v>13.25</v>
      </c>
      <c r="C16" s="22">
        <f t="shared" si="5"/>
        <v>1.3250000000000002</v>
      </c>
      <c r="D16" s="22">
        <v>45</v>
      </c>
      <c r="E16" s="84">
        <f t="shared" si="1"/>
        <v>0.22249730893433803</v>
      </c>
      <c r="F16" s="84">
        <f t="shared" si="6"/>
        <v>14.79749730893434</v>
      </c>
      <c r="G16" s="19">
        <f t="shared" si="7"/>
        <v>1216.2063038213132</v>
      </c>
      <c r="H16" s="119">
        <f>1165+51</f>
        <v>1216</v>
      </c>
      <c r="I16" s="21">
        <f t="shared" si="8"/>
        <v>-0.20630382131321312</v>
      </c>
    </row>
    <row r="17" spans="1:10" s="8" customFormat="1" ht="15">
      <c r="A17" s="104" t="s">
        <v>224</v>
      </c>
      <c r="B17" s="85"/>
      <c r="C17" s="85"/>
      <c r="D17" s="22">
        <v>8765</v>
      </c>
      <c r="E17" s="84">
        <f t="shared" si="1"/>
        <v>43.33753139576606</v>
      </c>
      <c r="F17" s="85"/>
      <c r="G17" s="28"/>
      <c r="H17" s="28"/>
      <c r="I17" s="28"/>
      <c r="J17" s="32"/>
    </row>
    <row r="18" spans="1:9" s="8" customFormat="1" ht="15">
      <c r="A18" s="25"/>
      <c r="B18" s="86"/>
      <c r="C18" s="86"/>
      <c r="D18" s="86">
        <f>SUM(D4:D17)</f>
        <v>13935</v>
      </c>
      <c r="E18" s="1">
        <v>68.9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8.75" customHeight="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205</v>
      </c>
      <c r="B1" s="10">
        <v>41292</v>
      </c>
      <c r="C1" s="10"/>
      <c r="D1" s="11" t="s">
        <v>206</v>
      </c>
      <c r="E1" s="12">
        <v>40.95</v>
      </c>
      <c r="G1" s="8" t="s">
        <v>207</v>
      </c>
    </row>
    <row r="2" s="8" customFormat="1" ht="23.25" customHeight="1">
      <c r="A2" s="33" t="s">
        <v>235</v>
      </c>
    </row>
    <row r="3" spans="1:9" s="15" customFormat="1" ht="60">
      <c r="A3" s="13" t="s">
        <v>208</v>
      </c>
      <c r="B3" s="14" t="s">
        <v>209</v>
      </c>
      <c r="C3" s="14" t="s">
        <v>210</v>
      </c>
      <c r="D3" s="14" t="s">
        <v>211</v>
      </c>
      <c r="E3" s="13" t="s">
        <v>212</v>
      </c>
      <c r="F3" s="13" t="s">
        <v>213</v>
      </c>
      <c r="G3" s="13" t="s">
        <v>214</v>
      </c>
      <c r="H3" s="13" t="s">
        <v>215</v>
      </c>
      <c r="I3" s="13" t="s">
        <v>216</v>
      </c>
    </row>
    <row r="4" spans="1:9" s="8" customFormat="1" ht="15">
      <c r="A4" s="4" t="s">
        <v>224</v>
      </c>
      <c r="B4" s="16">
        <v>25.4</v>
      </c>
      <c r="C4" s="16">
        <f>B4*0.95</f>
        <v>24.13</v>
      </c>
      <c r="D4" s="16">
        <f>B4/$B$14*$D$14</f>
        <v>1.9132536874189818</v>
      </c>
      <c r="E4" s="40"/>
      <c r="F4" s="28"/>
      <c r="G4" s="41"/>
      <c r="H4" s="42"/>
      <c r="I4" s="43"/>
    </row>
    <row r="5" spans="1:9" s="8" customFormat="1" ht="15">
      <c r="A5" s="4" t="s">
        <v>201</v>
      </c>
      <c r="B5" s="16">
        <v>29.7</v>
      </c>
      <c r="C5" s="16">
        <f aca="true" t="shared" si="0" ref="C5:C13">B5*0.95</f>
        <v>28.214999999999996</v>
      </c>
      <c r="D5" s="16">
        <f aca="true" t="shared" si="1" ref="D5:D13">B5/$B$14*$D$14</f>
        <v>2.2371509652103843</v>
      </c>
      <c r="E5" s="17">
        <f aca="true" t="shared" si="2" ref="E5:E13">(C5+D5)*$E$1</f>
        <v>1247.0155820253651</v>
      </c>
      <c r="F5" s="18"/>
      <c r="G5" s="19">
        <f aca="true" t="shared" si="3" ref="G5:G13">E5-F5</f>
        <v>1247.0155820253651</v>
      </c>
      <c r="H5" s="22">
        <f>761+557</f>
        <v>1318</v>
      </c>
      <c r="I5" s="21">
        <f aca="true" t="shared" si="4" ref="I5:I10">H5-G5+F5</f>
        <v>70.98441797463488</v>
      </c>
    </row>
    <row r="6" spans="1:9" s="8" customFormat="1" ht="15">
      <c r="A6" s="4" t="s">
        <v>236</v>
      </c>
      <c r="B6" s="16">
        <v>6.5</v>
      </c>
      <c r="C6" s="16">
        <f t="shared" si="0"/>
        <v>6.175</v>
      </c>
      <c r="D6" s="16">
        <f t="shared" si="1"/>
        <v>0.48961216410328273</v>
      </c>
      <c r="E6" s="17">
        <f t="shared" si="2"/>
        <v>272.9158681200295</v>
      </c>
      <c r="F6" s="18"/>
      <c r="G6" s="19">
        <f t="shared" si="3"/>
        <v>272.9158681200295</v>
      </c>
      <c r="H6" s="22">
        <v>849</v>
      </c>
      <c r="I6" s="21">
        <f t="shared" si="4"/>
        <v>576.0841318799705</v>
      </c>
    </row>
    <row r="7" spans="1:9" s="8" customFormat="1" ht="15">
      <c r="A7" s="4" t="s">
        <v>181</v>
      </c>
      <c r="B7" s="16">
        <v>88.85</v>
      </c>
      <c r="C7" s="16">
        <f t="shared" si="0"/>
        <v>84.40749999999998</v>
      </c>
      <c r="D7" s="16">
        <f>B7/$B$14*$D$14</f>
        <v>6.692621658550258</v>
      </c>
      <c r="E7" s="17">
        <f t="shared" si="2"/>
        <v>3730.5499819176325</v>
      </c>
      <c r="F7" s="18"/>
      <c r="G7" s="19">
        <f t="shared" si="3"/>
        <v>3730.5499819176325</v>
      </c>
      <c r="H7" s="22">
        <v>4534</v>
      </c>
      <c r="I7" s="21">
        <f t="shared" si="4"/>
        <v>803.4500180823675</v>
      </c>
    </row>
    <row r="8" spans="1:9" s="8" customFormat="1" ht="15">
      <c r="A8" s="4" t="s">
        <v>176</v>
      </c>
      <c r="B8" s="16">
        <v>5.5</v>
      </c>
      <c r="C8" s="16">
        <f t="shared" si="0"/>
        <v>5.225</v>
      </c>
      <c r="D8" s="16">
        <f t="shared" si="1"/>
        <v>0.41428721577970085</v>
      </c>
      <c r="E8" s="17">
        <f t="shared" si="2"/>
        <v>230.92881148617874</v>
      </c>
      <c r="F8" s="18"/>
      <c r="G8" s="19">
        <f t="shared" si="3"/>
        <v>230.92881148617874</v>
      </c>
      <c r="H8" s="22">
        <v>237</v>
      </c>
      <c r="I8" s="21">
        <f t="shared" si="4"/>
        <v>6.071188513821255</v>
      </c>
    </row>
    <row r="9" spans="1:9" s="8" customFormat="1" ht="30">
      <c r="A9" s="44" t="s">
        <v>237</v>
      </c>
      <c r="B9" s="16">
        <v>44.7</v>
      </c>
      <c r="C9" s="16">
        <f t="shared" si="0"/>
        <v>42.465</v>
      </c>
      <c r="D9" s="16">
        <f>B9/$B$14*$D$14</f>
        <v>3.3670251900641137</v>
      </c>
      <c r="E9" s="17">
        <f>(C9+D9)*$E$1</f>
        <v>1876.8214315331256</v>
      </c>
      <c r="F9" s="18"/>
      <c r="G9" s="19">
        <f t="shared" si="3"/>
        <v>1876.8214315331256</v>
      </c>
      <c r="H9" s="22">
        <f>1100+760</f>
        <v>1860</v>
      </c>
      <c r="I9" s="21">
        <f t="shared" si="4"/>
        <v>-16.821431533125633</v>
      </c>
    </row>
    <row r="10" spans="1:9" s="8" customFormat="1" ht="15">
      <c r="A10" s="4" t="s">
        <v>18</v>
      </c>
      <c r="B10" s="16">
        <v>18.3</v>
      </c>
      <c r="C10" s="16">
        <f t="shared" si="0"/>
        <v>17.385</v>
      </c>
      <c r="D10" s="16">
        <f>B10/$B$14*$D$14</f>
        <v>1.37844655432155</v>
      </c>
      <c r="E10" s="17">
        <f>(C10+D10)*$E$1</f>
        <v>768.3631363994675</v>
      </c>
      <c r="F10" s="18"/>
      <c r="G10" s="19">
        <f t="shared" si="3"/>
        <v>768.3631363994675</v>
      </c>
      <c r="H10" s="22">
        <v>795</v>
      </c>
      <c r="I10" s="21">
        <f t="shared" si="4"/>
        <v>26.63686360053248</v>
      </c>
    </row>
    <row r="11" spans="1:9" s="8" customFormat="1" ht="15">
      <c r="A11" s="4" t="s">
        <v>15</v>
      </c>
      <c r="B11" s="16">
        <v>19.15</v>
      </c>
      <c r="C11" s="16">
        <f t="shared" si="0"/>
        <v>18.1925</v>
      </c>
      <c r="D11" s="16">
        <f>B11/$B$14*$D$14</f>
        <v>1.4424727603965946</v>
      </c>
      <c r="E11" s="17">
        <f>(C11+D11)*$E$1</f>
        <v>804.0521345382406</v>
      </c>
      <c r="F11" s="18"/>
      <c r="G11" s="19">
        <f t="shared" si="3"/>
        <v>804.0521345382406</v>
      </c>
      <c r="H11" s="22">
        <f>797</f>
        <v>797</v>
      </c>
      <c r="I11" s="21">
        <f>H11-G11+F11+17</f>
        <v>9.94786546175942</v>
      </c>
    </row>
    <row r="12" spans="1:10" s="8" customFormat="1" ht="15">
      <c r="A12" s="4" t="s">
        <v>23</v>
      </c>
      <c r="B12" s="16">
        <v>43.9</v>
      </c>
      <c r="C12" s="16">
        <f t="shared" si="0"/>
        <v>41.705</v>
      </c>
      <c r="D12" s="16">
        <f t="shared" si="1"/>
        <v>3.306765231405248</v>
      </c>
      <c r="E12" s="17">
        <f t="shared" si="2"/>
        <v>1843.2317862260452</v>
      </c>
      <c r="F12" s="18"/>
      <c r="G12" s="19">
        <f t="shared" si="3"/>
        <v>1843.2317862260452</v>
      </c>
      <c r="H12" s="22">
        <v>1827</v>
      </c>
      <c r="I12" s="21">
        <f>H12-G12</f>
        <v>-16.231786226045188</v>
      </c>
      <c r="J12" s="33"/>
    </row>
    <row r="13" spans="1:10" s="8" customFormat="1" ht="15">
      <c r="A13" s="4" t="s">
        <v>51</v>
      </c>
      <c r="B13" s="16">
        <v>3.43</v>
      </c>
      <c r="C13" s="16">
        <f t="shared" si="0"/>
        <v>3.2585</v>
      </c>
      <c r="D13" s="16">
        <f t="shared" si="1"/>
        <v>0.2583645727498861</v>
      </c>
      <c r="E13" s="17">
        <f t="shared" si="2"/>
        <v>144.01560425410784</v>
      </c>
      <c r="F13" s="18"/>
      <c r="G13" s="19">
        <f t="shared" si="3"/>
        <v>144.01560425410784</v>
      </c>
      <c r="H13" s="22">
        <v>184</v>
      </c>
      <c r="I13" s="21">
        <f>H13-G13</f>
        <v>39.98439574589216</v>
      </c>
      <c r="J13" s="33"/>
    </row>
    <row r="14" spans="1:9" s="8" customFormat="1" ht="15">
      <c r="A14" s="25"/>
      <c r="B14" s="26">
        <f>SUM(B4:B13)</f>
        <v>285.43</v>
      </c>
      <c r="C14" s="26">
        <f>SUM(C4:C13)</f>
        <v>271.1585</v>
      </c>
      <c r="D14" s="26">
        <v>21.5</v>
      </c>
      <c r="E14" s="27"/>
      <c r="F14" s="28"/>
      <c r="G14" s="28"/>
      <c r="H14" s="28"/>
      <c r="I14" s="28"/>
    </row>
    <row r="16" ht="23.25">
      <c r="A16" s="30"/>
    </row>
    <row r="17" ht="15">
      <c r="A17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205</v>
      </c>
      <c r="B1" s="10">
        <v>42380</v>
      </c>
      <c r="C1" s="10"/>
      <c r="D1" s="10"/>
      <c r="E1" s="10"/>
      <c r="F1" s="11" t="s">
        <v>206</v>
      </c>
      <c r="G1" s="106">
        <v>85.41</v>
      </c>
      <c r="H1" s="8" t="s">
        <v>207</v>
      </c>
    </row>
    <row r="2" s="8" customFormat="1" ht="23.25" customHeight="1">
      <c r="A2" s="33" t="s">
        <v>793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145</v>
      </c>
      <c r="B4" s="22">
        <v>6.58</v>
      </c>
      <c r="C4" s="22">
        <f aca="true" t="shared" si="0" ref="C4:C13">B4*0.1</f>
        <v>0.658</v>
      </c>
      <c r="D4" s="22">
        <v>150</v>
      </c>
      <c r="E4" s="84">
        <f aca="true" t="shared" si="1" ref="E4:E14">D4/$D$15*$E$15</f>
        <v>0.7718446601941747</v>
      </c>
      <c r="F4" s="84">
        <f>B4+E4+C4</f>
        <v>8.009844660194174</v>
      </c>
      <c r="G4" s="19">
        <f>F4*$G$1</f>
        <v>684.1208324271844</v>
      </c>
      <c r="H4" s="132">
        <f>668+13</f>
        <v>681</v>
      </c>
      <c r="I4" s="21">
        <f aca="true" t="shared" si="2" ref="I4:I13">H4-G4</f>
        <v>-3.120832427184382</v>
      </c>
    </row>
    <row r="5" spans="1:9" s="15" customFormat="1" ht="15">
      <c r="A5" s="103" t="s">
        <v>127</v>
      </c>
      <c r="B5" s="22">
        <v>3.27</v>
      </c>
      <c r="C5" s="22">
        <f t="shared" si="0"/>
        <v>0.327</v>
      </c>
      <c r="D5" s="22">
        <v>250</v>
      </c>
      <c r="E5" s="84">
        <f t="shared" si="1"/>
        <v>1.2864077669902914</v>
      </c>
      <c r="F5" s="84">
        <f aca="true" t="shared" si="3" ref="F5:F13">B5+E5+C5</f>
        <v>4.883407766990292</v>
      </c>
      <c r="G5" s="19">
        <f aca="true" t="shared" si="4" ref="G5:G13">F5*$G$1</f>
        <v>417.0918573786408</v>
      </c>
      <c r="H5" s="132">
        <v>482</v>
      </c>
      <c r="I5" s="21">
        <f t="shared" si="2"/>
        <v>64.90814262135922</v>
      </c>
    </row>
    <row r="6" spans="1:9" s="8" customFormat="1" ht="15">
      <c r="A6" s="104" t="s">
        <v>794</v>
      </c>
      <c r="B6" s="22">
        <v>13.25</v>
      </c>
      <c r="C6" s="22">
        <f t="shared" si="0"/>
        <v>1.3250000000000002</v>
      </c>
      <c r="D6" s="22">
        <v>75</v>
      </c>
      <c r="E6" s="84">
        <f t="shared" si="1"/>
        <v>0.3859223300970874</v>
      </c>
      <c r="F6" s="84">
        <f t="shared" si="3"/>
        <v>14.960922330097087</v>
      </c>
      <c r="G6" s="19">
        <f t="shared" si="4"/>
        <v>1277.8123762135922</v>
      </c>
      <c r="H6" s="132">
        <f>1259+19</f>
        <v>1278</v>
      </c>
      <c r="I6" s="21">
        <f t="shared" si="2"/>
        <v>0.18762378640781208</v>
      </c>
    </row>
    <row r="7" spans="1:9" s="15" customFormat="1" ht="15">
      <c r="A7" s="103" t="s">
        <v>795</v>
      </c>
      <c r="B7" s="22">
        <v>12.42</v>
      </c>
      <c r="C7" s="22">
        <f t="shared" si="0"/>
        <v>1.242</v>
      </c>
      <c r="D7" s="22">
        <v>980</v>
      </c>
      <c r="E7" s="84">
        <f t="shared" si="1"/>
        <v>5.042718446601943</v>
      </c>
      <c r="F7" s="84">
        <f t="shared" si="3"/>
        <v>18.704718446601944</v>
      </c>
      <c r="G7" s="19">
        <f t="shared" si="4"/>
        <v>1597.570002524272</v>
      </c>
      <c r="H7" s="132">
        <f>1565+33</f>
        <v>1598</v>
      </c>
      <c r="I7" s="21">
        <f t="shared" si="2"/>
        <v>0.42999747572798697</v>
      </c>
    </row>
    <row r="8" spans="1:9" s="15" customFormat="1" ht="15">
      <c r="A8" s="103" t="s">
        <v>796</v>
      </c>
      <c r="B8" s="22">
        <v>37.42</v>
      </c>
      <c r="C8" s="22">
        <f t="shared" si="0"/>
        <v>3.7420000000000004</v>
      </c>
      <c r="D8" s="22">
        <v>260</v>
      </c>
      <c r="E8" s="84">
        <f t="shared" si="1"/>
        <v>1.337864077669903</v>
      </c>
      <c r="F8" s="84">
        <f t="shared" si="3"/>
        <v>42.499864077669905</v>
      </c>
      <c r="G8" s="19">
        <f t="shared" si="4"/>
        <v>3629.9133908737863</v>
      </c>
      <c r="H8" s="132">
        <f>3490+140</f>
        <v>3630</v>
      </c>
      <c r="I8" s="21">
        <f t="shared" si="2"/>
        <v>0.08660912621371608</v>
      </c>
    </row>
    <row r="9" spans="1:9" s="8" customFormat="1" ht="15">
      <c r="A9" s="104" t="s">
        <v>596</v>
      </c>
      <c r="B9" s="22">
        <v>31.06</v>
      </c>
      <c r="C9" s="22">
        <f t="shared" si="0"/>
        <v>3.106</v>
      </c>
      <c r="D9" s="22">
        <v>500</v>
      </c>
      <c r="E9" s="84">
        <f t="shared" si="1"/>
        <v>2.5728155339805827</v>
      </c>
      <c r="F9" s="84">
        <f t="shared" si="3"/>
        <v>36.738815533980585</v>
      </c>
      <c r="G9" s="19">
        <f t="shared" si="4"/>
        <v>3137.862234757282</v>
      </c>
      <c r="H9" s="132">
        <f>3090+48</f>
        <v>3138</v>
      </c>
      <c r="I9" s="21">
        <f t="shared" si="2"/>
        <v>0.13776524271816015</v>
      </c>
    </row>
    <row r="10" spans="1:9" s="15" customFormat="1" ht="15">
      <c r="A10" s="103" t="s">
        <v>8</v>
      </c>
      <c r="B10" s="22">
        <v>34.8</v>
      </c>
      <c r="C10" s="22">
        <f t="shared" si="0"/>
        <v>3.48</v>
      </c>
      <c r="D10" s="22">
        <v>1485</v>
      </c>
      <c r="E10" s="84">
        <f t="shared" si="1"/>
        <v>7.6412621359223305</v>
      </c>
      <c r="F10" s="84">
        <f t="shared" si="3"/>
        <v>45.921262135922326</v>
      </c>
      <c r="G10" s="19">
        <f t="shared" si="4"/>
        <v>3922.1349990291255</v>
      </c>
      <c r="H10" s="132">
        <f>3860+62</f>
        <v>3922</v>
      </c>
      <c r="I10" s="21">
        <f t="shared" si="2"/>
        <v>-0.13499902912553807</v>
      </c>
    </row>
    <row r="11" spans="1:9" s="8" customFormat="1" ht="15">
      <c r="A11" s="104" t="s">
        <v>797</v>
      </c>
      <c r="B11" s="22">
        <v>10</v>
      </c>
      <c r="C11" s="22">
        <f t="shared" si="0"/>
        <v>1</v>
      </c>
      <c r="D11" s="22">
        <v>100</v>
      </c>
      <c r="E11" s="84">
        <f t="shared" si="1"/>
        <v>0.5145631067961165</v>
      </c>
      <c r="F11" s="84">
        <f t="shared" si="3"/>
        <v>11.514563106796116</v>
      </c>
      <c r="G11" s="19">
        <f t="shared" si="4"/>
        <v>983.4588349514562</v>
      </c>
      <c r="H11" s="132">
        <v>975</v>
      </c>
      <c r="I11" s="21">
        <f t="shared" si="2"/>
        <v>-8.458834951456197</v>
      </c>
    </row>
    <row r="12" spans="1:9" s="15" customFormat="1" ht="15">
      <c r="A12" s="103" t="s">
        <v>140</v>
      </c>
      <c r="B12" s="22">
        <v>31.5</v>
      </c>
      <c r="C12" s="22">
        <f t="shared" si="0"/>
        <v>3.1500000000000004</v>
      </c>
      <c r="D12" s="22">
        <v>200</v>
      </c>
      <c r="E12" s="84">
        <f t="shared" si="1"/>
        <v>1.029126213592233</v>
      </c>
      <c r="F12" s="84">
        <f t="shared" si="3"/>
        <v>35.679126213592234</v>
      </c>
      <c r="G12" s="19">
        <f t="shared" si="4"/>
        <v>3047.3541699029124</v>
      </c>
      <c r="H12" s="132">
        <f>1500+1547</f>
        <v>3047</v>
      </c>
      <c r="I12" s="21">
        <f t="shared" si="2"/>
        <v>-0.35416990291241746</v>
      </c>
    </row>
    <row r="13" spans="1:9" s="15" customFormat="1" ht="15">
      <c r="A13" s="103" t="s">
        <v>36</v>
      </c>
      <c r="B13" s="22">
        <v>18.53</v>
      </c>
      <c r="C13" s="22">
        <f t="shared" si="0"/>
        <v>1.8530000000000002</v>
      </c>
      <c r="D13" s="22">
        <v>725</v>
      </c>
      <c r="E13" s="84">
        <f t="shared" si="1"/>
        <v>3.730582524271845</v>
      </c>
      <c r="F13" s="84">
        <f t="shared" si="3"/>
        <v>24.11358252427185</v>
      </c>
      <c r="G13" s="19">
        <f t="shared" si="4"/>
        <v>2059.5410833980586</v>
      </c>
      <c r="H13" s="132">
        <v>2028</v>
      </c>
      <c r="I13" s="21">
        <f t="shared" si="2"/>
        <v>-31.541083398058618</v>
      </c>
    </row>
    <row r="14" spans="1:10" s="8" customFormat="1" ht="15">
      <c r="A14" s="104" t="s">
        <v>224</v>
      </c>
      <c r="B14" s="85"/>
      <c r="C14" s="85"/>
      <c r="D14" s="22">
        <v>8665</v>
      </c>
      <c r="E14" s="84">
        <f t="shared" si="1"/>
        <v>44.5868932038835</v>
      </c>
      <c r="F14" s="85"/>
      <c r="G14" s="28"/>
      <c r="H14" s="28"/>
      <c r="I14" s="28"/>
      <c r="J14" s="32"/>
    </row>
    <row r="15" spans="1:9" s="8" customFormat="1" ht="15">
      <c r="A15" s="25"/>
      <c r="B15" s="86"/>
      <c r="C15" s="86"/>
      <c r="D15" s="86">
        <f>SUM(D4:D14)</f>
        <v>13390</v>
      </c>
      <c r="E15" s="1">
        <v>68.9</v>
      </c>
      <c r="F15" s="113"/>
      <c r="G15" s="28"/>
      <c r="H15" s="28"/>
      <c r="I15" s="28"/>
    </row>
    <row r="18" ht="21">
      <c r="A18" s="130"/>
    </row>
    <row r="19" ht="21">
      <c r="A19" s="130"/>
    </row>
    <row r="20" ht="18.75" customHeight="1">
      <c r="A20" s="13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205</v>
      </c>
      <c r="B1" s="10">
        <v>42388</v>
      </c>
      <c r="C1" s="10"/>
      <c r="D1" s="10"/>
      <c r="E1" s="10"/>
      <c r="F1" s="11" t="s">
        <v>206</v>
      </c>
      <c r="G1" s="106">
        <v>94.053</v>
      </c>
      <c r="H1" s="8" t="s">
        <v>207</v>
      </c>
    </row>
    <row r="2" s="8" customFormat="1" ht="23.25" customHeight="1">
      <c r="A2" s="33" t="s">
        <v>799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418</v>
      </c>
      <c r="B4" s="22">
        <v>16.58</v>
      </c>
      <c r="C4" s="22">
        <f aca="true" t="shared" si="0" ref="C4:C13">B4*0.1</f>
        <v>1.658</v>
      </c>
      <c r="D4" s="22">
        <v>1150</v>
      </c>
      <c r="E4" s="84">
        <f aca="true" t="shared" si="1" ref="E4:E16">D4/$D$17*$E$17</f>
        <v>5.836832412523021</v>
      </c>
      <c r="F4" s="84">
        <f>B4+E4+C4</f>
        <v>24.074832412523023</v>
      </c>
      <c r="G4" s="19">
        <f>F4*$G$1</f>
        <v>2264.3102128950277</v>
      </c>
      <c r="H4" s="144">
        <f>2122+142</f>
        <v>2264</v>
      </c>
      <c r="I4" s="21">
        <f aca="true" t="shared" si="2" ref="I4:I13">H4-G4</f>
        <v>-0.31021289502768923</v>
      </c>
    </row>
    <row r="5" spans="1:9" s="15" customFormat="1" ht="15">
      <c r="A5" s="103" t="s">
        <v>804</v>
      </c>
      <c r="B5" s="22">
        <v>14.08</v>
      </c>
      <c r="C5" s="22">
        <f t="shared" si="0"/>
        <v>1.4080000000000001</v>
      </c>
      <c r="D5" s="22">
        <v>100</v>
      </c>
      <c r="E5" s="84">
        <f t="shared" si="1"/>
        <v>0.5075506445672192</v>
      </c>
      <c r="F5" s="84">
        <f aca="true" t="shared" si="3" ref="F5:F13">B5+E5+C5</f>
        <v>15.995550644567219</v>
      </c>
      <c r="G5" s="19">
        <f aca="true" t="shared" si="4" ref="G5:G13">F5*$G$1</f>
        <v>1504.4295247734806</v>
      </c>
      <c r="H5" s="144">
        <f>1380+124</f>
        <v>1504</v>
      </c>
      <c r="I5" s="21">
        <f t="shared" si="2"/>
        <v>-0.4295247734805798</v>
      </c>
    </row>
    <row r="6" spans="1:9" s="8" customFormat="1" ht="15">
      <c r="A6" s="104" t="s">
        <v>805</v>
      </c>
      <c r="B6" s="22">
        <v>10.12</v>
      </c>
      <c r="C6" s="22">
        <f t="shared" si="0"/>
        <v>1.012</v>
      </c>
      <c r="D6" s="22">
        <v>250</v>
      </c>
      <c r="E6" s="84">
        <f t="shared" si="1"/>
        <v>1.268876611418048</v>
      </c>
      <c r="F6" s="84">
        <f t="shared" si="3"/>
        <v>12.400876611418047</v>
      </c>
      <c r="G6" s="19">
        <f t="shared" si="4"/>
        <v>1166.3396479337016</v>
      </c>
      <c r="H6" s="119">
        <f>1078+88</f>
        <v>1166</v>
      </c>
      <c r="I6" s="21">
        <f t="shared" si="2"/>
        <v>-0.33964793370159896</v>
      </c>
    </row>
    <row r="7" spans="1:9" s="15" customFormat="1" ht="15">
      <c r="A7" s="103" t="s">
        <v>330</v>
      </c>
      <c r="B7" s="22">
        <v>4.69</v>
      </c>
      <c r="C7" s="22">
        <f t="shared" si="0"/>
        <v>0.4690000000000001</v>
      </c>
      <c r="D7" s="22">
        <v>260</v>
      </c>
      <c r="E7" s="84">
        <f t="shared" si="1"/>
        <v>1.3196316758747697</v>
      </c>
      <c r="F7" s="84">
        <f t="shared" si="3"/>
        <v>6.47863167587477</v>
      </c>
      <c r="G7" s="19">
        <f t="shared" si="4"/>
        <v>609.3347450110498</v>
      </c>
      <c r="H7" s="144">
        <f>562+29+18</f>
        <v>609</v>
      </c>
      <c r="I7" s="21">
        <f t="shared" si="2"/>
        <v>-0.33474501104979026</v>
      </c>
    </row>
    <row r="8" spans="1:9" s="15" customFormat="1" ht="15">
      <c r="A8" s="103" t="s">
        <v>126</v>
      </c>
      <c r="B8" s="22">
        <v>3.67</v>
      </c>
      <c r="C8" s="22">
        <f t="shared" si="0"/>
        <v>0.367</v>
      </c>
      <c r="D8" s="22">
        <v>65</v>
      </c>
      <c r="E8" s="84">
        <f t="shared" si="1"/>
        <v>0.3299079189686924</v>
      </c>
      <c r="F8" s="84">
        <f t="shared" si="3"/>
        <v>4.366907918968693</v>
      </c>
      <c r="G8" s="19">
        <f t="shared" si="4"/>
        <v>410.72079050276244</v>
      </c>
      <c r="H8" s="144">
        <f>386+32</f>
        <v>418</v>
      </c>
      <c r="I8" s="21">
        <f t="shared" si="2"/>
        <v>7.279209497237559</v>
      </c>
    </row>
    <row r="9" spans="1:9" s="8" customFormat="1" ht="15">
      <c r="A9" s="104" t="s">
        <v>806</v>
      </c>
      <c r="B9" s="22">
        <v>21.93</v>
      </c>
      <c r="C9" s="22">
        <f t="shared" si="0"/>
        <v>2.193</v>
      </c>
      <c r="D9" s="22">
        <v>70</v>
      </c>
      <c r="E9" s="84">
        <f t="shared" si="1"/>
        <v>0.3552854511970534</v>
      </c>
      <c r="F9" s="84">
        <f t="shared" si="3"/>
        <v>24.478285451197056</v>
      </c>
      <c r="G9" s="19">
        <f t="shared" si="4"/>
        <v>2302.2561815414365</v>
      </c>
      <c r="H9" s="119">
        <f>2126+176</f>
        <v>2302</v>
      </c>
      <c r="I9" s="21">
        <f t="shared" si="2"/>
        <v>-0.2561815414364901</v>
      </c>
    </row>
    <row r="10" spans="1:9" s="15" customFormat="1" ht="15">
      <c r="A10" s="103" t="s">
        <v>652</v>
      </c>
      <c r="B10" s="22">
        <v>31.11</v>
      </c>
      <c r="C10" s="22">
        <f t="shared" si="0"/>
        <v>3.111</v>
      </c>
      <c r="D10" s="22">
        <v>1270</v>
      </c>
      <c r="E10" s="84">
        <f t="shared" si="1"/>
        <v>6.445893186003683</v>
      </c>
      <c r="F10" s="84">
        <f t="shared" si="3"/>
        <v>40.66689318600368</v>
      </c>
      <c r="G10" s="19">
        <f t="shared" si="4"/>
        <v>3824.8433048232046</v>
      </c>
      <c r="H10" s="144">
        <f>3503+322</f>
        <v>3825</v>
      </c>
      <c r="I10" s="21">
        <f t="shared" si="2"/>
        <v>0.15669517679543787</v>
      </c>
    </row>
    <row r="11" spans="1:9" s="8" customFormat="1" ht="15">
      <c r="A11" s="104" t="s">
        <v>616</v>
      </c>
      <c r="B11" s="22">
        <v>27.72</v>
      </c>
      <c r="C11" s="22">
        <f t="shared" si="0"/>
        <v>2.7720000000000002</v>
      </c>
      <c r="D11" s="22">
        <v>1515</v>
      </c>
      <c r="E11" s="84">
        <f t="shared" si="1"/>
        <v>7.689392265193371</v>
      </c>
      <c r="F11" s="84">
        <f t="shared" si="3"/>
        <v>38.18139226519337</v>
      </c>
      <c r="G11" s="19">
        <f t="shared" si="4"/>
        <v>3591.0744867182316</v>
      </c>
      <c r="H11" s="119">
        <f>3335+256</f>
        <v>3591</v>
      </c>
      <c r="I11" s="21">
        <f t="shared" si="2"/>
        <v>-0.07448671823158293</v>
      </c>
    </row>
    <row r="12" spans="1:9" s="15" customFormat="1" ht="15">
      <c r="A12" s="103" t="s">
        <v>807</v>
      </c>
      <c r="B12" s="22">
        <v>87.26</v>
      </c>
      <c r="C12" s="22">
        <f t="shared" si="0"/>
        <v>8.726</v>
      </c>
      <c r="D12" s="22">
        <v>830</v>
      </c>
      <c r="E12" s="84">
        <f t="shared" si="1"/>
        <v>4.21267034990792</v>
      </c>
      <c r="F12" s="84">
        <f t="shared" si="3"/>
        <v>100.19867034990793</v>
      </c>
      <c r="G12" s="19">
        <f t="shared" si="4"/>
        <v>9423.98554241989</v>
      </c>
      <c r="H12" s="132">
        <f>8717+707</f>
        <v>9424</v>
      </c>
      <c r="I12" s="21">
        <f t="shared" si="2"/>
        <v>0.014457580109592527</v>
      </c>
    </row>
    <row r="13" spans="1:9" s="15" customFormat="1" ht="15">
      <c r="A13" s="103" t="s">
        <v>800</v>
      </c>
      <c r="B13" s="22">
        <v>8.67</v>
      </c>
      <c r="C13" s="22">
        <f t="shared" si="0"/>
        <v>0.867</v>
      </c>
      <c r="D13" s="22">
        <v>305</v>
      </c>
      <c r="E13" s="84">
        <f t="shared" si="1"/>
        <v>1.5480294659300187</v>
      </c>
      <c r="F13" s="84">
        <f t="shared" si="3"/>
        <v>11.08502946593002</v>
      </c>
      <c r="G13" s="19">
        <f t="shared" si="4"/>
        <v>1042.5802763591162</v>
      </c>
      <c r="H13" s="144">
        <f>967+76</f>
        <v>1043</v>
      </c>
      <c r="I13" s="21">
        <f t="shared" si="2"/>
        <v>0.41972364088383074</v>
      </c>
    </row>
    <row r="14" spans="1:9" s="15" customFormat="1" ht="15">
      <c r="A14" s="103" t="s">
        <v>512</v>
      </c>
      <c r="B14" s="22">
        <v>28.22</v>
      </c>
      <c r="C14" s="22">
        <f>B14*0.1</f>
        <v>2.822</v>
      </c>
      <c r="D14" s="22">
        <v>730</v>
      </c>
      <c r="E14" s="84">
        <f t="shared" si="1"/>
        <v>3.7051197053407</v>
      </c>
      <c r="F14" s="84">
        <f>B14+E14+C14</f>
        <v>34.7471197053407</v>
      </c>
      <c r="G14" s="19">
        <f>F14*$G$1</f>
        <v>3268.070849646409</v>
      </c>
      <c r="H14" s="144">
        <f>2994+274</f>
        <v>3268</v>
      </c>
      <c r="I14" s="21">
        <f>H14-G14</f>
        <v>-0.07084964640898761</v>
      </c>
    </row>
    <row r="15" spans="1:9" s="15" customFormat="1" ht="15">
      <c r="A15" s="103" t="s">
        <v>808</v>
      </c>
      <c r="B15" s="22">
        <v>28.34</v>
      </c>
      <c r="C15" s="22">
        <f>B15*0.1</f>
        <v>2.834</v>
      </c>
      <c r="D15" s="22">
        <v>185</v>
      </c>
      <c r="E15" s="84">
        <f t="shared" si="1"/>
        <v>0.9389686924493555</v>
      </c>
      <c r="F15" s="84">
        <f>B15+E15+C15</f>
        <v>32.11296869244936</v>
      </c>
      <c r="G15" s="19">
        <f>F15*$G$1</f>
        <v>3020.3210444309393</v>
      </c>
      <c r="H15" s="143">
        <f>2500+520</f>
        <v>3020</v>
      </c>
      <c r="I15" s="21">
        <f>H15-G15</f>
        <v>-0.3210444309393097</v>
      </c>
    </row>
    <row r="16" spans="1:10" s="8" customFormat="1" ht="15">
      <c r="A16" s="104" t="s">
        <v>224</v>
      </c>
      <c r="B16" s="85"/>
      <c r="C16" s="85"/>
      <c r="D16" s="22">
        <v>6845</v>
      </c>
      <c r="E16" s="84">
        <f t="shared" si="1"/>
        <v>34.741841620626154</v>
      </c>
      <c r="F16" s="85"/>
      <c r="G16" s="28"/>
      <c r="H16" s="28"/>
      <c r="I16" s="28"/>
      <c r="J16" s="32"/>
    </row>
    <row r="17" spans="1:9" s="8" customFormat="1" ht="15">
      <c r="A17" s="25"/>
      <c r="B17" s="86"/>
      <c r="C17" s="86"/>
      <c r="D17" s="86">
        <f>SUM(D4:D16)</f>
        <v>13575</v>
      </c>
      <c r="E17" s="1">
        <v>68.9</v>
      </c>
      <c r="F17" s="113"/>
      <c r="G17" s="28"/>
      <c r="H17" s="28"/>
      <c r="I17" s="28"/>
    </row>
    <row r="20" ht="18.75" customHeight="1">
      <c r="A20" s="130" t="s">
        <v>686</v>
      </c>
    </row>
    <row r="21" ht="31.5">
      <c r="A21" s="117" t="s">
        <v>800</v>
      </c>
    </row>
    <row r="22" ht="15">
      <c r="A22" s="138" t="s">
        <v>801</v>
      </c>
    </row>
    <row r="23" ht="31.5">
      <c r="A23" s="117" t="s">
        <v>802</v>
      </c>
    </row>
    <row r="24" ht="15">
      <c r="A24" s="139" t="s">
        <v>803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8" customFormat="1" ht="21.75" customHeight="1">
      <c r="A1" s="9" t="s">
        <v>205</v>
      </c>
      <c r="B1" s="10">
        <v>42397</v>
      </c>
      <c r="C1" s="10"/>
      <c r="D1" s="10"/>
      <c r="E1" s="10"/>
      <c r="F1" s="11" t="s">
        <v>206</v>
      </c>
      <c r="G1" s="106">
        <v>84.52</v>
      </c>
      <c r="H1" s="8" t="s">
        <v>207</v>
      </c>
    </row>
    <row r="2" s="8" customFormat="1" ht="23.25" customHeight="1">
      <c r="A2" s="33" t="s">
        <v>811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10" s="15" customFormat="1" ht="30">
      <c r="A4" s="103" t="s">
        <v>190</v>
      </c>
      <c r="B4" s="22">
        <v>7.04</v>
      </c>
      <c r="C4" s="22">
        <f aca="true" t="shared" si="0" ref="C4:C11">B4*0.1</f>
        <v>0.7040000000000001</v>
      </c>
      <c r="D4" s="22">
        <v>570</v>
      </c>
      <c r="E4" s="84">
        <f aca="true" t="shared" si="1" ref="E4:E12">D4/$D$13*$E$13</f>
        <v>2.8172883787661407</v>
      </c>
      <c r="F4" s="84">
        <f>B4+E4+C4</f>
        <v>10.561288378766141</v>
      </c>
      <c r="G4" s="19">
        <f>F4*$G$1</f>
        <v>892.6400937733142</v>
      </c>
      <c r="H4" s="22">
        <f>936-3</f>
        <v>933</v>
      </c>
      <c r="I4" s="21">
        <f aca="true" t="shared" si="2" ref="I4:I11">H4-G4</f>
        <v>40.35990622668578</v>
      </c>
      <c r="J4" s="15" t="s">
        <v>831</v>
      </c>
    </row>
    <row r="5" spans="1:10" s="15" customFormat="1" ht="30">
      <c r="A5" s="103" t="s">
        <v>812</v>
      </c>
      <c r="B5" s="22">
        <v>11.6</v>
      </c>
      <c r="C5" s="22">
        <f t="shared" si="0"/>
        <v>1.16</v>
      </c>
      <c r="D5" s="22">
        <v>1400</v>
      </c>
      <c r="E5" s="84">
        <f t="shared" si="1"/>
        <v>6.919655667144908</v>
      </c>
      <c r="F5" s="84">
        <f aca="true" t="shared" si="3" ref="F5:F11">B5+E5+C5</f>
        <v>19.679655667144907</v>
      </c>
      <c r="G5" s="19">
        <f aca="true" t="shared" si="4" ref="G5:G11">F5*$G$1</f>
        <v>1663.3244969870875</v>
      </c>
      <c r="H5" s="22">
        <f>1729-81</f>
        <v>1648</v>
      </c>
      <c r="I5" s="21">
        <f t="shared" si="2"/>
        <v>-15.324496987087514</v>
      </c>
      <c r="J5" s="15" t="s">
        <v>832</v>
      </c>
    </row>
    <row r="6" spans="1:9" s="8" customFormat="1" ht="15">
      <c r="A6" s="104" t="s">
        <v>760</v>
      </c>
      <c r="B6" s="22">
        <v>36.17</v>
      </c>
      <c r="C6" s="22">
        <f t="shared" si="0"/>
        <v>3.6170000000000004</v>
      </c>
      <c r="D6" s="22">
        <v>820</v>
      </c>
      <c r="E6" s="84">
        <f t="shared" si="1"/>
        <v>4.052941176470589</v>
      </c>
      <c r="F6" s="84">
        <f t="shared" si="3"/>
        <v>43.83994117647059</v>
      </c>
      <c r="G6" s="19">
        <f t="shared" si="4"/>
        <v>3705.351828235294</v>
      </c>
      <c r="H6" s="22">
        <v>3845</v>
      </c>
      <c r="I6" s="21">
        <f t="shared" si="2"/>
        <v>139.64817176470615</v>
      </c>
    </row>
    <row r="7" spans="1:9" s="15" customFormat="1" ht="15">
      <c r="A7" s="103" t="s">
        <v>813</v>
      </c>
      <c r="B7" s="22">
        <v>14.84</v>
      </c>
      <c r="C7" s="22">
        <f t="shared" si="0"/>
        <v>1.484</v>
      </c>
      <c r="D7" s="22">
        <v>230</v>
      </c>
      <c r="E7" s="84">
        <f t="shared" si="1"/>
        <v>1.136800573888092</v>
      </c>
      <c r="F7" s="84">
        <f t="shared" si="3"/>
        <v>17.460800573888093</v>
      </c>
      <c r="G7" s="19">
        <f t="shared" si="4"/>
        <v>1475.7868645050216</v>
      </c>
      <c r="H7" s="22">
        <v>1535</v>
      </c>
      <c r="I7" s="21">
        <f t="shared" si="2"/>
        <v>59.21313549497836</v>
      </c>
    </row>
    <row r="8" spans="1:10" s="15" customFormat="1" ht="30">
      <c r="A8" s="103" t="s">
        <v>814</v>
      </c>
      <c r="B8" s="22">
        <v>7.93</v>
      </c>
      <c r="C8" s="22">
        <f t="shared" si="0"/>
        <v>0.793</v>
      </c>
      <c r="D8" s="22">
        <v>490</v>
      </c>
      <c r="E8" s="84">
        <f t="shared" si="1"/>
        <v>2.4218794835007174</v>
      </c>
      <c r="F8" s="84">
        <f t="shared" si="3"/>
        <v>11.144879483500716</v>
      </c>
      <c r="G8" s="19">
        <f t="shared" si="4"/>
        <v>941.9652139454805</v>
      </c>
      <c r="H8" s="22">
        <f>978-36</f>
        <v>942</v>
      </c>
      <c r="I8" s="21">
        <f t="shared" si="2"/>
        <v>0.03478605451948624</v>
      </c>
      <c r="J8" s="15" t="s">
        <v>820</v>
      </c>
    </row>
    <row r="9" spans="1:9" s="8" customFormat="1" ht="15">
      <c r="A9" s="104" t="s">
        <v>614</v>
      </c>
      <c r="B9" s="22">
        <v>1.74</v>
      </c>
      <c r="C9" s="22">
        <f t="shared" si="0"/>
        <v>0.17400000000000002</v>
      </c>
      <c r="D9" s="22">
        <v>30</v>
      </c>
      <c r="E9" s="84">
        <f t="shared" si="1"/>
        <v>0.14827833572453372</v>
      </c>
      <c r="F9" s="84">
        <f t="shared" si="3"/>
        <v>2.0622783357245336</v>
      </c>
      <c r="G9" s="19">
        <f t="shared" si="4"/>
        <v>174.30376493543756</v>
      </c>
      <c r="H9" s="22">
        <v>182</v>
      </c>
      <c r="I9" s="21">
        <f t="shared" si="2"/>
        <v>7.696235064562444</v>
      </c>
    </row>
    <row r="10" spans="1:9" s="15" customFormat="1" ht="15">
      <c r="A10" s="103" t="s">
        <v>815</v>
      </c>
      <c r="B10" s="22">
        <v>46.92</v>
      </c>
      <c r="C10" s="22">
        <f t="shared" si="0"/>
        <v>4.692</v>
      </c>
      <c r="D10" s="22">
        <v>3200</v>
      </c>
      <c r="E10" s="84">
        <f t="shared" si="1"/>
        <v>15.816355810616932</v>
      </c>
      <c r="F10" s="84">
        <f t="shared" si="3"/>
        <v>67.42835581061694</v>
      </c>
      <c r="G10" s="19">
        <f t="shared" si="4"/>
        <v>5699.0446331133435</v>
      </c>
      <c r="H10" s="22">
        <v>5895</v>
      </c>
      <c r="I10" s="21">
        <f t="shared" si="2"/>
        <v>195.95536688665652</v>
      </c>
    </row>
    <row r="11" spans="1:10" s="8" customFormat="1" ht="30">
      <c r="A11" s="104" t="s">
        <v>416</v>
      </c>
      <c r="B11" s="22">
        <v>8.32</v>
      </c>
      <c r="C11" s="22">
        <f t="shared" si="0"/>
        <v>0.8320000000000001</v>
      </c>
      <c r="D11" s="22">
        <v>295</v>
      </c>
      <c r="E11" s="84">
        <f t="shared" si="1"/>
        <v>1.4580703012912484</v>
      </c>
      <c r="F11" s="84">
        <f t="shared" si="3"/>
        <v>10.61007030129125</v>
      </c>
      <c r="G11" s="19">
        <f t="shared" si="4"/>
        <v>896.7631418651364</v>
      </c>
      <c r="H11" s="22">
        <f>930-61</f>
        <v>869</v>
      </c>
      <c r="I11" s="21">
        <f t="shared" si="2"/>
        <v>-27.76314186513639</v>
      </c>
      <c r="J11" s="15" t="s">
        <v>821</v>
      </c>
    </row>
    <row r="12" spans="1:10" s="8" customFormat="1" ht="15">
      <c r="A12" s="104" t="s">
        <v>224</v>
      </c>
      <c r="B12" s="85"/>
      <c r="C12" s="85"/>
      <c r="D12" s="22">
        <v>6905</v>
      </c>
      <c r="E12" s="84">
        <f t="shared" si="1"/>
        <v>34.12873027259685</v>
      </c>
      <c r="F12" s="85"/>
      <c r="G12" s="28"/>
      <c r="H12" s="28"/>
      <c r="I12" s="28"/>
      <c r="J12" s="32"/>
    </row>
    <row r="13" spans="1:9" s="8" customFormat="1" ht="15">
      <c r="A13" s="25"/>
      <c r="B13" s="86"/>
      <c r="C13" s="86"/>
      <c r="D13" s="86">
        <f>SUM(D4:D12)</f>
        <v>13940</v>
      </c>
      <c r="E13" s="1">
        <v>68.9</v>
      </c>
      <c r="F13" s="113"/>
      <c r="G13" s="28"/>
      <c r="H13" s="28"/>
      <c r="I13" s="28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8" customFormat="1" ht="21.75" customHeight="1">
      <c r="A1" s="9" t="s">
        <v>205</v>
      </c>
      <c r="B1" s="10">
        <v>42401</v>
      </c>
      <c r="C1" s="10"/>
      <c r="D1" s="10"/>
      <c r="E1" s="10"/>
      <c r="F1" s="11" t="s">
        <v>206</v>
      </c>
      <c r="G1" s="106">
        <v>88.89</v>
      </c>
      <c r="H1" s="8" t="s">
        <v>207</v>
      </c>
    </row>
    <row r="2" s="8" customFormat="1" ht="23.25" customHeight="1">
      <c r="A2" s="33" t="s">
        <v>817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3" t="s">
        <v>295</v>
      </c>
      <c r="I3" s="13" t="s">
        <v>296</v>
      </c>
    </row>
    <row r="4" spans="1:9" s="15" customFormat="1" ht="15">
      <c r="A4" s="103" t="s">
        <v>818</v>
      </c>
      <c r="B4" s="22">
        <v>34.81</v>
      </c>
      <c r="C4" s="22">
        <f>B4*0.1</f>
        <v>3.4810000000000003</v>
      </c>
      <c r="D4" s="22">
        <v>690</v>
      </c>
      <c r="E4" s="84">
        <f aca="true" t="shared" si="0" ref="E4:E9">D4/$D$10*$E$10</f>
        <v>3.422678185745141</v>
      </c>
      <c r="F4" s="84">
        <f>B4+E4+C4</f>
        <v>41.713678185745145</v>
      </c>
      <c r="G4" s="19">
        <f>F4*$G$1</f>
        <v>3707.928853930886</v>
      </c>
      <c r="H4" s="143">
        <f>3558+150</f>
        <v>3708</v>
      </c>
      <c r="I4" s="21">
        <f>H4-G4</f>
        <v>0.07114606911409282</v>
      </c>
    </row>
    <row r="5" spans="1:9" s="15" customFormat="1" ht="15">
      <c r="A5" s="103" t="s">
        <v>614</v>
      </c>
      <c r="B5" s="22">
        <v>7.42</v>
      </c>
      <c r="C5" s="22">
        <f>B5*0.1</f>
        <v>0.742</v>
      </c>
      <c r="D5" s="22">
        <v>470</v>
      </c>
      <c r="E5" s="84">
        <f t="shared" si="0"/>
        <v>2.331389488840893</v>
      </c>
      <c r="F5" s="84">
        <f>B5+E5+C5</f>
        <v>10.493389488840894</v>
      </c>
      <c r="G5" s="19">
        <f>F5*$G$1</f>
        <v>932.7573916630671</v>
      </c>
      <c r="H5" s="22">
        <f>880+45</f>
        <v>925</v>
      </c>
      <c r="I5" s="21">
        <f>H5-G5</f>
        <v>-7.7573916630670965</v>
      </c>
    </row>
    <row r="6" spans="1:9" s="8" customFormat="1" ht="15">
      <c r="A6" s="104" t="s">
        <v>745</v>
      </c>
      <c r="B6" s="22">
        <v>4.42</v>
      </c>
      <c r="C6" s="22">
        <f>B6*0.1</f>
        <v>0.442</v>
      </c>
      <c r="D6" s="22">
        <v>80</v>
      </c>
      <c r="E6" s="84">
        <f t="shared" si="0"/>
        <v>0.39683225341972644</v>
      </c>
      <c r="F6" s="84">
        <f>B6+E6+C6</f>
        <v>5.258832253419727</v>
      </c>
      <c r="G6" s="19">
        <f>F6*$G$1</f>
        <v>467.45759900647954</v>
      </c>
      <c r="H6" s="143">
        <f>443+24</f>
        <v>467</v>
      </c>
      <c r="I6" s="21">
        <f>H6-G6</f>
        <v>-0.45759900647954055</v>
      </c>
    </row>
    <row r="7" spans="1:9" s="15" customFormat="1" ht="15">
      <c r="A7" s="103" t="s">
        <v>815</v>
      </c>
      <c r="B7" s="22">
        <v>29.66</v>
      </c>
      <c r="C7" s="22">
        <f>B7*0.1</f>
        <v>2.966</v>
      </c>
      <c r="D7" s="22">
        <v>1080</v>
      </c>
      <c r="E7" s="84">
        <f t="shared" si="0"/>
        <v>5.357235421166307</v>
      </c>
      <c r="F7" s="84">
        <f>B7+E7+C7</f>
        <v>37.983235421166306</v>
      </c>
      <c r="G7" s="19">
        <f>F7*$G$1</f>
        <v>3376.329796587473</v>
      </c>
      <c r="H7" s="22">
        <v>3178</v>
      </c>
      <c r="I7" s="21">
        <f>H7-G7</f>
        <v>-198.32979658747308</v>
      </c>
    </row>
    <row r="8" spans="1:9" s="15" customFormat="1" ht="15">
      <c r="A8" s="103" t="s">
        <v>418</v>
      </c>
      <c r="B8" s="22">
        <v>90.44</v>
      </c>
      <c r="C8" s="22">
        <f>B8*0.1</f>
        <v>9.044</v>
      </c>
      <c r="D8" s="22">
        <v>750</v>
      </c>
      <c r="E8" s="84">
        <f t="shared" si="0"/>
        <v>3.7203023758099354</v>
      </c>
      <c r="F8" s="84">
        <f>B8+E8+C8</f>
        <v>103.20430237580993</v>
      </c>
      <c r="G8" s="19">
        <f>F8*$G$1</f>
        <v>9173.830438185745</v>
      </c>
      <c r="H8" s="119">
        <f>8782+392</f>
        <v>9174</v>
      </c>
      <c r="I8" s="21">
        <f>H8-G8</f>
        <v>0.1695618142548483</v>
      </c>
    </row>
    <row r="9" spans="1:10" s="8" customFormat="1" ht="15">
      <c r="A9" s="104" t="s">
        <v>224</v>
      </c>
      <c r="B9" s="85"/>
      <c r="C9" s="85"/>
      <c r="D9" s="22">
        <v>10820</v>
      </c>
      <c r="E9" s="84">
        <f t="shared" si="0"/>
        <v>53.671562275018</v>
      </c>
      <c r="F9" s="85"/>
      <c r="G9" s="28"/>
      <c r="H9" s="28"/>
      <c r="I9" s="28"/>
      <c r="J9" s="32"/>
    </row>
    <row r="10" spans="1:9" s="8" customFormat="1" ht="15">
      <c r="A10" s="25"/>
      <c r="B10" s="86"/>
      <c r="C10" s="86"/>
      <c r="D10" s="86">
        <f>SUM(D4:D9)</f>
        <v>13890</v>
      </c>
      <c r="E10" s="1">
        <v>68.9</v>
      </c>
      <c r="F10" s="113"/>
      <c r="G10" s="28"/>
      <c r="H10" s="28"/>
      <c r="I10" s="28"/>
    </row>
    <row r="13" ht="21">
      <c r="A13" s="130"/>
    </row>
    <row r="14" ht="21">
      <c r="A14" s="13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  <col min="10" max="10" width="26.28125" style="0" customWidth="1"/>
  </cols>
  <sheetData>
    <row r="1" spans="1:8" s="8" customFormat="1" ht="21">
      <c r="A1" s="9" t="s">
        <v>205</v>
      </c>
      <c r="B1" s="10">
        <v>42416</v>
      </c>
      <c r="C1" s="10"/>
      <c r="D1" s="10"/>
      <c r="E1" s="10"/>
      <c r="F1" s="11" t="s">
        <v>206</v>
      </c>
      <c r="G1" s="106">
        <v>87.29</v>
      </c>
      <c r="H1" s="8" t="s">
        <v>207</v>
      </c>
    </row>
    <row r="2" s="8" customFormat="1" ht="15">
      <c r="A2" s="33" t="s">
        <v>822</v>
      </c>
    </row>
    <row r="3" spans="1:9" s="15" customFormat="1" ht="60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760</v>
      </c>
      <c r="B4" s="22">
        <v>39.75</v>
      </c>
      <c r="C4" s="22">
        <f aca="true" t="shared" si="0" ref="C4:C16">B4*0.1</f>
        <v>3.975</v>
      </c>
      <c r="D4" s="22">
        <v>1390</v>
      </c>
      <c r="E4" s="84">
        <f aca="true" t="shared" si="1" ref="E4:E17">D4/$D$18*$E$18</f>
        <v>7.075803472478759</v>
      </c>
      <c r="F4" s="84">
        <f aca="true" t="shared" si="2" ref="F4:F16">B4+E4+C4</f>
        <v>50.80080347247876</v>
      </c>
      <c r="G4" s="145">
        <f aca="true" t="shared" si="3" ref="G4:G16">F4*$G$1</f>
        <v>4434.402135112671</v>
      </c>
      <c r="H4" s="132">
        <v>4387</v>
      </c>
      <c r="I4" s="146">
        <f aca="true" t="shared" si="4" ref="I4:I16">H4-G4</f>
        <v>-47.4021351126712</v>
      </c>
    </row>
    <row r="5" spans="1:9" s="15" customFormat="1" ht="15">
      <c r="A5" s="103" t="s">
        <v>723</v>
      </c>
      <c r="B5" s="22">
        <v>26.5</v>
      </c>
      <c r="C5" s="22">
        <f t="shared" si="0"/>
        <v>2.6500000000000004</v>
      </c>
      <c r="D5" s="22">
        <v>935</v>
      </c>
      <c r="E5" s="84">
        <f t="shared" si="1"/>
        <v>4.759623199113411</v>
      </c>
      <c r="F5" s="84">
        <f t="shared" si="2"/>
        <v>33.90962319911341</v>
      </c>
      <c r="G5" s="145">
        <f t="shared" si="3"/>
        <v>2959.97100905061</v>
      </c>
      <c r="H5" s="119">
        <v>3002</v>
      </c>
      <c r="I5" s="146">
        <f t="shared" si="4"/>
        <v>42.028990949389936</v>
      </c>
    </row>
    <row r="6" spans="1:9" s="8" customFormat="1" ht="15">
      <c r="A6" s="104" t="s">
        <v>787</v>
      </c>
      <c r="B6" s="22">
        <v>13.75</v>
      </c>
      <c r="C6" s="22">
        <f t="shared" si="0"/>
        <v>1.375</v>
      </c>
      <c r="D6" s="22">
        <v>60</v>
      </c>
      <c r="E6" s="84">
        <f t="shared" si="1"/>
        <v>0.3054303657185076</v>
      </c>
      <c r="F6" s="84">
        <f t="shared" si="2"/>
        <v>15.430430365718507</v>
      </c>
      <c r="G6" s="145">
        <f t="shared" si="3"/>
        <v>1346.9222666235687</v>
      </c>
      <c r="H6" s="119">
        <v>1400</v>
      </c>
      <c r="I6" s="146">
        <f t="shared" si="4"/>
        <v>53.0777333764313</v>
      </c>
    </row>
    <row r="7" spans="1:9" s="15" customFormat="1" ht="15">
      <c r="A7" s="103" t="s">
        <v>796</v>
      </c>
      <c r="B7" s="22">
        <v>40.33</v>
      </c>
      <c r="C7" s="22">
        <f t="shared" si="0"/>
        <v>4.033</v>
      </c>
      <c r="D7" s="22">
        <v>180</v>
      </c>
      <c r="E7" s="84">
        <f t="shared" si="1"/>
        <v>0.9162910971555228</v>
      </c>
      <c r="F7" s="84">
        <f t="shared" si="2"/>
        <v>45.27929109715552</v>
      </c>
      <c r="G7" s="145">
        <f t="shared" si="3"/>
        <v>3952.429319870706</v>
      </c>
      <c r="H7" s="119">
        <v>4003</v>
      </c>
      <c r="I7" s="146">
        <f t="shared" si="4"/>
        <v>50.57068012929403</v>
      </c>
    </row>
    <row r="8" spans="1:10" s="15" customFormat="1" ht="15">
      <c r="A8" s="103" t="s">
        <v>724</v>
      </c>
      <c r="B8" s="22">
        <v>10.75</v>
      </c>
      <c r="C8" s="22">
        <f t="shared" si="0"/>
        <v>1.075</v>
      </c>
      <c r="D8" s="22">
        <v>200</v>
      </c>
      <c r="E8" s="84">
        <f t="shared" si="1"/>
        <v>1.018101219061692</v>
      </c>
      <c r="F8" s="84">
        <f t="shared" si="2"/>
        <v>12.84310121906169</v>
      </c>
      <c r="G8" s="145">
        <f t="shared" si="3"/>
        <v>1121.074305411895</v>
      </c>
      <c r="H8" s="119">
        <f>1144-26</f>
        <v>1118</v>
      </c>
      <c r="I8" s="146">
        <f t="shared" si="4"/>
        <v>-3.0743054118950113</v>
      </c>
      <c r="J8" s="15" t="s">
        <v>834</v>
      </c>
    </row>
    <row r="9" spans="1:10" s="15" customFormat="1" ht="30">
      <c r="A9" s="103" t="s">
        <v>694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0.3308828961950499</v>
      </c>
      <c r="F9" s="84">
        <f t="shared" si="2"/>
        <v>10.86888289619505</v>
      </c>
      <c r="G9" s="145">
        <f t="shared" si="3"/>
        <v>948.744788008866</v>
      </c>
      <c r="H9" s="119">
        <f>962-12</f>
        <v>950</v>
      </c>
      <c r="I9" s="146">
        <f t="shared" si="4"/>
        <v>1.255211991134047</v>
      </c>
      <c r="J9" s="15" t="s">
        <v>865</v>
      </c>
    </row>
    <row r="10" spans="1:10" s="15" customFormat="1" ht="15">
      <c r="A10" s="103" t="s">
        <v>824</v>
      </c>
      <c r="B10" s="22">
        <v>31.5</v>
      </c>
      <c r="C10" s="22">
        <f t="shared" si="0"/>
        <v>3.1500000000000004</v>
      </c>
      <c r="D10" s="22">
        <v>705</v>
      </c>
      <c r="E10" s="84">
        <f t="shared" si="1"/>
        <v>3.5888067971924644</v>
      </c>
      <c r="F10" s="84">
        <f t="shared" si="2"/>
        <v>38.23880679719246</v>
      </c>
      <c r="G10" s="145">
        <f t="shared" si="3"/>
        <v>3337.86544532693</v>
      </c>
      <c r="H10" s="119">
        <f>3392-54</f>
        <v>3338</v>
      </c>
      <c r="I10" s="146">
        <f t="shared" si="4"/>
        <v>0.1345546730699425</v>
      </c>
      <c r="J10" s="15" t="s">
        <v>833</v>
      </c>
    </row>
    <row r="11" spans="1:9" s="8" customFormat="1" ht="15">
      <c r="A11" s="104" t="s">
        <v>645</v>
      </c>
      <c r="B11" s="22">
        <v>10.42</v>
      </c>
      <c r="C11" s="22">
        <f t="shared" si="0"/>
        <v>1.042</v>
      </c>
      <c r="D11" s="22">
        <v>480</v>
      </c>
      <c r="E11" s="84">
        <f t="shared" si="1"/>
        <v>2.443442925748061</v>
      </c>
      <c r="F11" s="84">
        <f t="shared" si="2"/>
        <v>13.90544292574806</v>
      </c>
      <c r="G11" s="145">
        <f t="shared" si="3"/>
        <v>1213.8061129885482</v>
      </c>
      <c r="H11" s="119">
        <v>1214</v>
      </c>
      <c r="I11" s="146">
        <f t="shared" si="4"/>
        <v>0.19388701145180676</v>
      </c>
    </row>
    <row r="12" spans="1:9" s="15" customFormat="1" ht="15">
      <c r="A12" s="103" t="s">
        <v>770</v>
      </c>
      <c r="B12" s="22">
        <v>9.58</v>
      </c>
      <c r="C12" s="22">
        <f t="shared" si="0"/>
        <v>0.9580000000000001</v>
      </c>
      <c r="D12" s="22">
        <v>230</v>
      </c>
      <c r="E12" s="84">
        <f t="shared" si="1"/>
        <v>1.170816401920946</v>
      </c>
      <c r="F12" s="84">
        <f t="shared" si="2"/>
        <v>11.708816401920947</v>
      </c>
      <c r="G12" s="145">
        <f t="shared" si="3"/>
        <v>1022.0625837236795</v>
      </c>
      <c r="H12" s="147">
        <v>1022</v>
      </c>
      <c r="I12" s="146">
        <f t="shared" si="4"/>
        <v>-0.06258372367949505</v>
      </c>
    </row>
    <row r="13" spans="1:9" s="15" customFormat="1" ht="15">
      <c r="A13" s="103" t="s">
        <v>127</v>
      </c>
      <c r="B13" s="22">
        <v>15.34</v>
      </c>
      <c r="C13" s="22">
        <f t="shared" si="0"/>
        <v>1.534</v>
      </c>
      <c r="D13" s="22">
        <v>525</v>
      </c>
      <c r="E13" s="84">
        <f t="shared" si="1"/>
        <v>2.6725157000369415</v>
      </c>
      <c r="F13" s="84">
        <f t="shared" si="2"/>
        <v>19.54651570003694</v>
      </c>
      <c r="G13" s="145">
        <f t="shared" si="3"/>
        <v>1706.2153554562246</v>
      </c>
      <c r="H13" s="119">
        <f>1326+388</f>
        <v>1714</v>
      </c>
      <c r="I13" s="146">
        <f t="shared" si="4"/>
        <v>7.784644543775357</v>
      </c>
    </row>
    <row r="14" spans="1:9" s="15" customFormat="1" ht="15">
      <c r="A14" s="103" t="s">
        <v>8</v>
      </c>
      <c r="B14" s="22">
        <v>22.38</v>
      </c>
      <c r="C14" s="22">
        <f t="shared" si="0"/>
        <v>2.238</v>
      </c>
      <c r="D14" s="22">
        <v>1010</v>
      </c>
      <c r="E14" s="84">
        <f t="shared" si="1"/>
        <v>5.141411156261545</v>
      </c>
      <c r="F14" s="84">
        <f t="shared" si="2"/>
        <v>29.759411156261542</v>
      </c>
      <c r="G14" s="145">
        <f t="shared" si="3"/>
        <v>2597.69899983007</v>
      </c>
      <c r="H14" s="119">
        <v>2620</v>
      </c>
      <c r="I14" s="146">
        <f t="shared" si="4"/>
        <v>22.30100016992992</v>
      </c>
    </row>
    <row r="15" spans="1:9" s="15" customFormat="1" ht="15">
      <c r="A15" s="103" t="s">
        <v>747</v>
      </c>
      <c r="B15" s="22">
        <v>14.3</v>
      </c>
      <c r="C15" s="22">
        <f t="shared" si="0"/>
        <v>1.4300000000000002</v>
      </c>
      <c r="D15" s="22">
        <v>810</v>
      </c>
      <c r="E15" s="84">
        <f t="shared" si="1"/>
        <v>4.123309937199853</v>
      </c>
      <c r="F15" s="84">
        <f t="shared" si="2"/>
        <v>19.853309937199853</v>
      </c>
      <c r="G15" s="145">
        <f t="shared" si="3"/>
        <v>1732.9954244181754</v>
      </c>
      <c r="H15" s="119">
        <v>1738</v>
      </c>
      <c r="I15" s="146">
        <f t="shared" si="4"/>
        <v>5.004575581824611</v>
      </c>
    </row>
    <row r="16" spans="1:9" s="8" customFormat="1" ht="15">
      <c r="A16" s="104" t="s">
        <v>825</v>
      </c>
      <c r="B16" s="22">
        <v>11.58</v>
      </c>
      <c r="C16" s="22">
        <f t="shared" si="0"/>
        <v>1.1580000000000001</v>
      </c>
      <c r="D16" s="22">
        <v>200</v>
      </c>
      <c r="E16" s="84">
        <f t="shared" si="1"/>
        <v>1.018101219061692</v>
      </c>
      <c r="F16" s="84">
        <f t="shared" si="2"/>
        <v>13.756101219061692</v>
      </c>
      <c r="G16" s="145">
        <f t="shared" si="3"/>
        <v>1200.7700754118953</v>
      </c>
      <c r="H16" s="132">
        <v>1228</v>
      </c>
      <c r="I16" s="146">
        <f t="shared" si="4"/>
        <v>27.229924588104723</v>
      </c>
    </row>
    <row r="17" spans="1:10" s="8" customFormat="1" ht="15">
      <c r="A17" s="104" t="s">
        <v>224</v>
      </c>
      <c r="B17" s="85"/>
      <c r="C17" s="85"/>
      <c r="D17" s="22">
        <v>6745</v>
      </c>
      <c r="E17" s="84">
        <f t="shared" si="1"/>
        <v>34.33546361285556</v>
      </c>
      <c r="F17" s="85"/>
      <c r="G17" s="28"/>
      <c r="H17" s="28"/>
      <c r="I17" s="28"/>
      <c r="J17" s="32"/>
    </row>
    <row r="18" spans="1:9" s="8" customFormat="1" ht="15">
      <c r="A18" s="25"/>
      <c r="B18" s="86"/>
      <c r="C18" s="86"/>
      <c r="D18" s="86">
        <f>SUM(D4:D17)</f>
        <v>13535</v>
      </c>
      <c r="E18" s="1">
        <v>68.9</v>
      </c>
      <c r="F18" s="113"/>
      <c r="G18" s="28"/>
      <c r="H18" s="28"/>
      <c r="I18" s="28"/>
    </row>
    <row r="21" ht="21">
      <c r="A21" s="130" t="s">
        <v>823</v>
      </c>
    </row>
    <row r="22" ht="21">
      <c r="A22" s="130" t="s">
        <v>698</v>
      </c>
    </row>
    <row r="23" ht="21">
      <c r="A23" s="130" t="s">
        <v>486</v>
      </c>
    </row>
    <row r="24" spans="1:2" ht="31.5">
      <c r="A24" s="117" t="s">
        <v>694</v>
      </c>
      <c r="B24" s="138" t="s">
        <v>826</v>
      </c>
    </row>
    <row r="25" spans="1:2" ht="31.5">
      <c r="A25" s="117" t="s">
        <v>824</v>
      </c>
      <c r="B25" s="138" t="s">
        <v>827</v>
      </c>
    </row>
    <row r="26" spans="1:2" ht="31.5">
      <c r="A26" s="117" t="s">
        <v>770</v>
      </c>
      <c r="B26" s="138" t="s">
        <v>828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8" customFormat="1" ht="21.75" customHeight="1">
      <c r="A1" s="9" t="s">
        <v>205</v>
      </c>
      <c r="B1" s="10">
        <v>42439</v>
      </c>
      <c r="C1" s="10"/>
      <c r="D1" s="10"/>
      <c r="E1" s="10"/>
      <c r="F1" s="11" t="s">
        <v>206</v>
      </c>
      <c r="G1" s="106">
        <v>80.82</v>
      </c>
      <c r="H1" s="8" t="s">
        <v>207</v>
      </c>
    </row>
    <row r="2" s="8" customFormat="1" ht="23.25" customHeight="1">
      <c r="A2" s="33" t="s">
        <v>835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838</v>
      </c>
      <c r="B4" s="22">
        <v>13.25</v>
      </c>
      <c r="C4" s="22">
        <f aca="true" t="shared" si="0" ref="C4:C9">B4*0.1</f>
        <v>1.3250000000000002</v>
      </c>
      <c r="D4" s="22">
        <v>30</v>
      </c>
      <c r="E4" s="84">
        <f aca="true" t="shared" si="1" ref="E4:E10">D4/$D$11*$E$11</f>
        <v>0.15307138904261208</v>
      </c>
      <c r="F4" s="84">
        <f aca="true" t="shared" si="2" ref="F4:F9">B4+E4+C4</f>
        <v>14.728071389042611</v>
      </c>
      <c r="G4" s="145">
        <f aca="true" t="shared" si="3" ref="G4:G9">F4*$G$1</f>
        <v>1190.3227296624239</v>
      </c>
      <c r="H4" s="119">
        <v>1200</v>
      </c>
      <c r="I4" s="146">
        <f aca="true" t="shared" si="4" ref="I4:I9">H4-G4</f>
        <v>9.677270337576147</v>
      </c>
    </row>
    <row r="5" spans="1:10" s="15" customFormat="1" ht="45">
      <c r="A5" s="103" t="s">
        <v>568</v>
      </c>
      <c r="B5" s="22">
        <v>9.84</v>
      </c>
      <c r="C5" s="22">
        <f t="shared" si="0"/>
        <v>0.984</v>
      </c>
      <c r="D5" s="22">
        <v>750</v>
      </c>
      <c r="E5" s="84">
        <f t="shared" si="1"/>
        <v>3.8267847260653016</v>
      </c>
      <c r="F5" s="84">
        <f t="shared" si="2"/>
        <v>14.650784726065302</v>
      </c>
      <c r="G5" s="145">
        <f t="shared" si="3"/>
        <v>1184.0764215605975</v>
      </c>
      <c r="H5" s="119">
        <f>1133+51</f>
        <v>1184</v>
      </c>
      <c r="I5" s="146">
        <f t="shared" si="4"/>
        <v>-0.0764215605975096</v>
      </c>
      <c r="J5" s="15" t="s">
        <v>841</v>
      </c>
    </row>
    <row r="6" spans="1:9" s="8" customFormat="1" ht="15">
      <c r="A6" s="104" t="s">
        <v>836</v>
      </c>
      <c r="B6" s="22">
        <v>8.25</v>
      </c>
      <c r="C6" s="22">
        <f t="shared" si="0"/>
        <v>0.8250000000000001</v>
      </c>
      <c r="D6" s="22">
        <v>250</v>
      </c>
      <c r="E6" s="84">
        <f t="shared" si="1"/>
        <v>1.275594908688434</v>
      </c>
      <c r="F6" s="84">
        <f t="shared" si="2"/>
        <v>10.350594908688434</v>
      </c>
      <c r="G6" s="145">
        <f t="shared" si="3"/>
        <v>836.5350805201991</v>
      </c>
      <c r="H6" s="119">
        <v>1700</v>
      </c>
      <c r="I6" s="146">
        <f t="shared" si="4"/>
        <v>863.4649194798009</v>
      </c>
    </row>
    <row r="7" spans="1:9" s="15" customFormat="1" ht="15">
      <c r="A7" s="103" t="s">
        <v>515</v>
      </c>
      <c r="B7" s="22">
        <v>82.69</v>
      </c>
      <c r="C7" s="22">
        <f t="shared" si="0"/>
        <v>8.269</v>
      </c>
      <c r="D7" s="22">
        <v>1565</v>
      </c>
      <c r="E7" s="84">
        <f t="shared" si="1"/>
        <v>7.985224128389596</v>
      </c>
      <c r="F7" s="84">
        <f t="shared" si="2"/>
        <v>98.9442241283896</v>
      </c>
      <c r="G7" s="145">
        <f t="shared" si="3"/>
        <v>7996.672194056448</v>
      </c>
      <c r="H7" s="119">
        <f>8400-445</f>
        <v>7955</v>
      </c>
      <c r="I7" s="146">
        <f t="shared" si="4"/>
        <v>-41.67219405644755</v>
      </c>
    </row>
    <row r="8" spans="1:9" s="15" customFormat="1" ht="15">
      <c r="A8" s="103" t="s">
        <v>418</v>
      </c>
      <c r="B8" s="22">
        <v>48.68</v>
      </c>
      <c r="C8" s="22">
        <f>B8*0.1</f>
        <v>4.868</v>
      </c>
      <c r="D8" s="22">
        <v>900</v>
      </c>
      <c r="E8" s="84">
        <f t="shared" si="1"/>
        <v>4.592141671278362</v>
      </c>
      <c r="F8" s="84">
        <f t="shared" si="2"/>
        <v>58.140141671278364</v>
      </c>
      <c r="G8" s="145">
        <f t="shared" si="3"/>
        <v>4698.886249872717</v>
      </c>
      <c r="H8" s="119">
        <v>4761</v>
      </c>
      <c r="I8" s="146">
        <f t="shared" si="4"/>
        <v>62.11375012728331</v>
      </c>
    </row>
    <row r="9" spans="1:9" s="15" customFormat="1" ht="15">
      <c r="A9" s="103" t="s">
        <v>740</v>
      </c>
      <c r="B9" s="22">
        <v>52.25</v>
      </c>
      <c r="C9" s="22">
        <f t="shared" si="0"/>
        <v>5.2250000000000005</v>
      </c>
      <c r="D9" s="22">
        <v>990</v>
      </c>
      <c r="E9" s="84">
        <f t="shared" si="1"/>
        <v>5.051355838406198</v>
      </c>
      <c r="F9" s="84">
        <f t="shared" si="2"/>
        <v>62.5263558384062</v>
      </c>
      <c r="G9" s="145">
        <f t="shared" si="3"/>
        <v>5053.380078859988</v>
      </c>
      <c r="H9" s="119">
        <f>5024+29</f>
        <v>5053</v>
      </c>
      <c r="I9" s="146">
        <f t="shared" si="4"/>
        <v>-0.38007885998831625</v>
      </c>
    </row>
    <row r="10" spans="1:10" s="8" customFormat="1" ht="15">
      <c r="A10" s="104" t="s">
        <v>224</v>
      </c>
      <c r="B10" s="85"/>
      <c r="C10" s="85"/>
      <c r="D10" s="22">
        <v>4550</v>
      </c>
      <c r="E10" s="84">
        <f t="shared" si="1"/>
        <v>23.215827338129497</v>
      </c>
      <c r="F10" s="85"/>
      <c r="G10" s="28"/>
      <c r="H10" s="28"/>
      <c r="I10" s="28"/>
      <c r="J10" s="32"/>
    </row>
    <row r="11" spans="1:9" s="8" customFormat="1" ht="15">
      <c r="A11" s="25"/>
      <c r="B11" s="86"/>
      <c r="C11" s="86"/>
      <c r="D11" s="86">
        <f>SUM(D4:D10)</f>
        <v>9035</v>
      </c>
      <c r="E11" s="1">
        <v>46.1</v>
      </c>
      <c r="F11" s="113"/>
      <c r="G11" s="28"/>
      <c r="H11" s="28"/>
      <c r="I11" s="28"/>
    </row>
    <row r="13" ht="18.75" customHeight="1">
      <c r="A13" s="130" t="s">
        <v>486</v>
      </c>
    </row>
    <row r="14" spans="1:2" ht="31.5">
      <c r="A14" s="117" t="s">
        <v>836</v>
      </c>
      <c r="B14" s="105"/>
    </row>
    <row r="15" ht="15">
      <c r="A15" s="141" t="s">
        <v>837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205</v>
      </c>
      <c r="B1" s="10">
        <v>42457</v>
      </c>
      <c r="C1" s="10"/>
      <c r="D1" s="10"/>
      <c r="E1" s="10"/>
      <c r="F1" s="11" t="s">
        <v>206</v>
      </c>
      <c r="G1" s="106">
        <v>78.35</v>
      </c>
      <c r="H1" s="8" t="s">
        <v>207</v>
      </c>
    </row>
    <row r="2" s="8" customFormat="1" ht="23.25" customHeight="1">
      <c r="A2" s="33" t="s">
        <v>842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127</v>
      </c>
      <c r="B4" s="22">
        <v>6.17</v>
      </c>
      <c r="C4" s="22">
        <f aca="true" t="shared" si="0" ref="C4:C12">B4*0.1</f>
        <v>0.617</v>
      </c>
      <c r="D4" s="22">
        <v>80</v>
      </c>
      <c r="E4" s="84">
        <f aca="true" t="shared" si="1" ref="E4:E14">D4/$D$15*$E$15</f>
        <v>0.4219679633867277</v>
      </c>
      <c r="F4" s="84">
        <f>B4+E4+C4</f>
        <v>7.208967963386727</v>
      </c>
      <c r="G4" s="145">
        <f aca="true" t="shared" si="2" ref="G4:G12">F4*$G$1</f>
        <v>564.8226399313501</v>
      </c>
      <c r="H4" s="119">
        <v>563</v>
      </c>
      <c r="I4" s="146">
        <f aca="true" t="shared" si="3" ref="I4:I12">H4-G4</f>
        <v>-1.8226399313500679</v>
      </c>
    </row>
    <row r="5" spans="1:9" s="15" customFormat="1" ht="15">
      <c r="A5" s="103" t="s">
        <v>115</v>
      </c>
      <c r="B5" s="22">
        <v>9.58</v>
      </c>
      <c r="C5" s="22">
        <f t="shared" si="0"/>
        <v>0.9580000000000001</v>
      </c>
      <c r="D5" s="22">
        <v>450</v>
      </c>
      <c r="E5" s="84">
        <f t="shared" si="1"/>
        <v>2.3735697940503435</v>
      </c>
      <c r="F5" s="84">
        <f aca="true" t="shared" si="4" ref="F5:F12">B5+E5+C5</f>
        <v>12.911569794050344</v>
      </c>
      <c r="G5" s="145">
        <f t="shared" si="2"/>
        <v>1011.6214933638444</v>
      </c>
      <c r="H5" s="119">
        <f>1013+19</f>
        <v>1032</v>
      </c>
      <c r="I5" s="146">
        <f t="shared" si="3"/>
        <v>20.378506636155635</v>
      </c>
    </row>
    <row r="6" spans="1:9" s="8" customFormat="1" ht="15">
      <c r="A6" s="104" t="s">
        <v>140</v>
      </c>
      <c r="B6" s="22">
        <v>19.58</v>
      </c>
      <c r="C6" s="22">
        <f t="shared" si="0"/>
        <v>1.958</v>
      </c>
      <c r="D6" s="22">
        <v>80</v>
      </c>
      <c r="E6" s="84">
        <f t="shared" si="1"/>
        <v>0.4219679633867277</v>
      </c>
      <c r="F6" s="84">
        <f t="shared" si="4"/>
        <v>21.959967963386724</v>
      </c>
      <c r="G6" s="145">
        <f t="shared" si="2"/>
        <v>1720.5634899313497</v>
      </c>
      <c r="H6" s="119">
        <v>1700</v>
      </c>
      <c r="I6" s="146">
        <f t="shared" si="3"/>
        <v>-20.56348993134975</v>
      </c>
    </row>
    <row r="7" spans="1:9" s="15" customFormat="1" ht="15">
      <c r="A7" s="103" t="s">
        <v>580</v>
      </c>
      <c r="B7" s="22">
        <v>4.92</v>
      </c>
      <c r="C7" s="22">
        <f>B7*0.1</f>
        <v>0.492</v>
      </c>
      <c r="D7" s="22">
        <v>240</v>
      </c>
      <c r="E7" s="84">
        <f>D7/$D$15*$E$15</f>
        <v>1.2659038901601831</v>
      </c>
      <c r="F7" s="84">
        <f>B7+E7+C7</f>
        <v>6.6779038901601835</v>
      </c>
      <c r="G7" s="145">
        <f>F7*$G$1</f>
        <v>523.2137697940503</v>
      </c>
      <c r="H7" s="119">
        <v>527</v>
      </c>
      <c r="I7" s="146">
        <f>H7-G7</f>
        <v>3.786230205949664</v>
      </c>
    </row>
    <row r="8" spans="1:9" s="15" customFormat="1" ht="15">
      <c r="A8" s="103" t="s">
        <v>843</v>
      </c>
      <c r="B8" s="22">
        <v>13.25</v>
      </c>
      <c r="C8" s="22">
        <f>B8*0.1</f>
        <v>1.3250000000000002</v>
      </c>
      <c r="D8" s="22">
        <v>140</v>
      </c>
      <c r="E8" s="84">
        <f>D8/$D$15*$E$15</f>
        <v>0.7384439359267735</v>
      </c>
      <c r="F8" s="84">
        <f>B8+E8+C8</f>
        <v>15.313443935926774</v>
      </c>
      <c r="G8" s="145">
        <f>F8*$G$1</f>
        <v>1199.8083323798626</v>
      </c>
      <c r="H8" s="132">
        <f>1191+9</f>
        <v>1200</v>
      </c>
      <c r="I8" s="146">
        <f>H8-G8</f>
        <v>0.191667620137423</v>
      </c>
    </row>
    <row r="9" spans="1:9" s="8" customFormat="1" ht="15">
      <c r="A9" s="104" t="s">
        <v>825</v>
      </c>
      <c r="B9" s="22">
        <v>11.58</v>
      </c>
      <c r="C9" s="22">
        <f>B9*0.1</f>
        <v>1.1580000000000001</v>
      </c>
      <c r="D9" s="22">
        <v>180</v>
      </c>
      <c r="E9" s="84">
        <f>D9/$D$15*$E$15</f>
        <v>0.9494279176201373</v>
      </c>
      <c r="F9" s="84">
        <f>B9+E9+C9</f>
        <v>13.687427917620138</v>
      </c>
      <c r="G9" s="145">
        <f>F9*$G$1</f>
        <v>1072.4099773455378</v>
      </c>
      <c r="H9" s="119">
        <v>1078</v>
      </c>
      <c r="I9" s="146">
        <f>H9-G9</f>
        <v>5.5900226544622456</v>
      </c>
    </row>
    <row r="10" spans="1:9" s="15" customFormat="1" ht="15">
      <c r="A10" s="103" t="s">
        <v>193</v>
      </c>
      <c r="B10" s="22">
        <v>5.75</v>
      </c>
      <c r="C10" s="22">
        <f t="shared" si="0"/>
        <v>0.5750000000000001</v>
      </c>
      <c r="D10" s="22">
        <v>570</v>
      </c>
      <c r="E10" s="84">
        <f t="shared" si="1"/>
        <v>3.006521739130435</v>
      </c>
      <c r="F10" s="84">
        <f t="shared" si="4"/>
        <v>9.331521739130434</v>
      </c>
      <c r="G10" s="145">
        <f t="shared" si="2"/>
        <v>731.1247282608695</v>
      </c>
      <c r="H10" s="119">
        <v>735</v>
      </c>
      <c r="I10" s="146">
        <f t="shared" si="3"/>
        <v>3.8752717391305396</v>
      </c>
    </row>
    <row r="11" spans="1:9" s="15" customFormat="1" ht="15">
      <c r="A11" s="103" t="s">
        <v>844</v>
      </c>
      <c r="B11" s="22">
        <v>4.99</v>
      </c>
      <c r="C11" s="22">
        <f>B11*0.1</f>
        <v>0.49900000000000005</v>
      </c>
      <c r="D11" s="22">
        <v>480</v>
      </c>
      <c r="E11" s="84">
        <f t="shared" si="1"/>
        <v>2.5318077803203662</v>
      </c>
      <c r="F11" s="84">
        <f t="shared" si="4"/>
        <v>8.020807780320366</v>
      </c>
      <c r="G11" s="145">
        <f t="shared" si="2"/>
        <v>628.4302895881007</v>
      </c>
      <c r="H11" s="119">
        <f>600+28</f>
        <v>628</v>
      </c>
      <c r="I11" s="146">
        <f t="shared" si="3"/>
        <v>-0.4302895881006634</v>
      </c>
    </row>
    <row r="12" spans="1:9" s="15" customFormat="1" ht="15">
      <c r="A12" s="103" t="s">
        <v>630</v>
      </c>
      <c r="B12" s="22">
        <v>44.42</v>
      </c>
      <c r="C12" s="22">
        <f t="shared" si="0"/>
        <v>4.442</v>
      </c>
      <c r="D12" s="22">
        <v>915</v>
      </c>
      <c r="E12" s="84">
        <f t="shared" si="1"/>
        <v>4.826258581235698</v>
      </c>
      <c r="F12" s="84">
        <f t="shared" si="4"/>
        <v>53.6882585812357</v>
      </c>
      <c r="G12" s="145">
        <f t="shared" si="2"/>
        <v>4206.475059839817</v>
      </c>
      <c r="H12" s="119">
        <f>4112+95</f>
        <v>4207</v>
      </c>
      <c r="I12" s="146">
        <f t="shared" si="3"/>
        <v>0.5249401601831778</v>
      </c>
    </row>
    <row r="13" spans="1:9" s="15" customFormat="1" ht="15">
      <c r="A13" s="104" t="s">
        <v>646</v>
      </c>
      <c r="B13" s="22">
        <v>11.24</v>
      </c>
      <c r="C13" s="22">
        <f>B13*0.1</f>
        <v>1.124</v>
      </c>
      <c r="D13" s="22">
        <v>175</v>
      </c>
      <c r="E13" s="84">
        <f>D13/$D$15*$E$15</f>
        <v>0.9230549199084669</v>
      </c>
      <c r="F13" s="84">
        <f>B13+E13+C13</f>
        <v>13.287054919908467</v>
      </c>
      <c r="G13" s="145">
        <f>F13*$G$1</f>
        <v>1041.0407529748284</v>
      </c>
      <c r="H13" s="119">
        <v>1055</v>
      </c>
      <c r="I13" s="146">
        <f>H13-G13</f>
        <v>13.959247025171635</v>
      </c>
    </row>
    <row r="14" spans="1:10" s="8" customFormat="1" ht="15">
      <c r="A14" s="104" t="s">
        <v>224</v>
      </c>
      <c r="B14" s="85"/>
      <c r="C14" s="85"/>
      <c r="D14" s="22">
        <v>5430</v>
      </c>
      <c r="E14" s="84">
        <f t="shared" si="1"/>
        <v>28.641075514874146</v>
      </c>
      <c r="F14" s="85"/>
      <c r="G14" s="28"/>
      <c r="H14" s="28"/>
      <c r="I14" s="28"/>
      <c r="J14" s="32"/>
    </row>
    <row r="15" spans="1:9" s="8" customFormat="1" ht="15">
      <c r="A15" s="25"/>
      <c r="B15" s="86"/>
      <c r="C15" s="86"/>
      <c r="D15" s="86">
        <f>SUM(D4:D14)</f>
        <v>8740</v>
      </c>
      <c r="E15" s="1">
        <v>46.1</v>
      </c>
      <c r="F15" s="113"/>
      <c r="G15" s="28"/>
      <c r="H15" s="28"/>
      <c r="I15" s="28"/>
    </row>
    <row r="16" ht="15">
      <c r="E16" s="149"/>
    </row>
    <row r="18" ht="21">
      <c r="A18" s="130"/>
    </row>
    <row r="19" ht="21">
      <c r="A19" s="13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29.28125" style="0" customWidth="1"/>
  </cols>
  <sheetData>
    <row r="1" spans="1:8" s="8" customFormat="1" ht="21.75" customHeight="1">
      <c r="A1" s="9" t="s">
        <v>205</v>
      </c>
      <c r="B1" s="10">
        <v>42471</v>
      </c>
      <c r="C1" s="10"/>
      <c r="D1" s="10"/>
      <c r="E1" s="10"/>
      <c r="F1" s="11" t="s">
        <v>206</v>
      </c>
      <c r="G1" s="106">
        <v>77.66</v>
      </c>
      <c r="H1" s="8" t="s">
        <v>207</v>
      </c>
    </row>
    <row r="2" s="8" customFormat="1" ht="23.25" customHeight="1">
      <c r="A2" s="33" t="s">
        <v>848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10" s="15" customFormat="1" ht="30">
      <c r="A4" s="103" t="s">
        <v>384</v>
      </c>
      <c r="B4" s="22">
        <v>18</v>
      </c>
      <c r="C4" s="22">
        <f aca="true" t="shared" si="0" ref="C4:C12">B4*0.1</f>
        <v>1.8</v>
      </c>
      <c r="D4" s="22">
        <v>490</v>
      </c>
      <c r="E4" s="84">
        <f aca="true" t="shared" si="1" ref="E4:E13">D4/$D$14*$E$14</f>
        <v>2.540944881889764</v>
      </c>
      <c r="F4" s="84">
        <f>B4+E4+C4</f>
        <v>22.340944881889765</v>
      </c>
      <c r="G4" s="145">
        <f aca="true" t="shared" si="2" ref="G4:G12">F4*$G$1</f>
        <v>1734.997779527559</v>
      </c>
      <c r="H4" s="119">
        <f>1795-14</f>
        <v>1781</v>
      </c>
      <c r="I4" s="146">
        <f aca="true" t="shared" si="3" ref="I4:I12">H4-G4</f>
        <v>46.00222047244097</v>
      </c>
      <c r="J4" s="129" t="s">
        <v>866</v>
      </c>
    </row>
    <row r="5" spans="1:9" s="15" customFormat="1" ht="15">
      <c r="A5" s="103" t="s">
        <v>126</v>
      </c>
      <c r="B5" s="22">
        <v>6.42</v>
      </c>
      <c r="C5" s="22">
        <f t="shared" si="0"/>
        <v>0.642</v>
      </c>
      <c r="D5" s="22">
        <v>440</v>
      </c>
      <c r="E5" s="84">
        <f t="shared" si="1"/>
        <v>2.2816647919010125</v>
      </c>
      <c r="F5" s="84">
        <f aca="true" t="shared" si="4" ref="F5:F12">B5+E5+C5</f>
        <v>9.343664791901013</v>
      </c>
      <c r="G5" s="145">
        <f t="shared" si="2"/>
        <v>725.6290077390327</v>
      </c>
      <c r="H5" s="119">
        <v>748</v>
      </c>
      <c r="I5" s="146">
        <f t="shared" si="3"/>
        <v>22.37099226096734</v>
      </c>
    </row>
    <row r="6" spans="1:9" s="8" customFormat="1" ht="15">
      <c r="A6" s="104" t="s">
        <v>849</v>
      </c>
      <c r="B6" s="22">
        <f>4.58*2</f>
        <v>9.16</v>
      </c>
      <c r="C6" s="22">
        <f t="shared" si="0"/>
        <v>0.916</v>
      </c>
      <c r="D6" s="22">
        <v>270</v>
      </c>
      <c r="E6" s="84">
        <f t="shared" si="1"/>
        <v>1.4001124859392575</v>
      </c>
      <c r="F6" s="84">
        <f t="shared" si="4"/>
        <v>11.476112485939257</v>
      </c>
      <c r="G6" s="145">
        <f t="shared" si="2"/>
        <v>891.2348956580427</v>
      </c>
      <c r="H6" s="119">
        <f>512+393</f>
        <v>905</v>
      </c>
      <c r="I6" s="146">
        <f t="shared" si="3"/>
        <v>13.76510434195734</v>
      </c>
    </row>
    <row r="7" spans="1:9" s="15" customFormat="1" ht="15">
      <c r="A7" s="103" t="s">
        <v>743</v>
      </c>
      <c r="B7" s="22">
        <v>6.58</v>
      </c>
      <c r="C7" s="22">
        <f>B7*0.1</f>
        <v>0.658</v>
      </c>
      <c r="D7" s="22">
        <v>140</v>
      </c>
      <c r="E7" s="84">
        <f t="shared" si="1"/>
        <v>0.7259842519685039</v>
      </c>
      <c r="F7" s="84">
        <f>B7+E7+C7</f>
        <v>7.963984251968505</v>
      </c>
      <c r="G7" s="145">
        <f>F7*$G$1</f>
        <v>618.4830170078741</v>
      </c>
      <c r="H7" s="119">
        <v>629</v>
      </c>
      <c r="I7" s="146">
        <f>H7-G7</f>
        <v>10.516982992125918</v>
      </c>
    </row>
    <row r="8" spans="1:9" s="15" customFormat="1" ht="15">
      <c r="A8" s="103" t="s">
        <v>127</v>
      </c>
      <c r="B8" s="22">
        <v>15.34</v>
      </c>
      <c r="C8" s="22">
        <f>B8*0.1</f>
        <v>1.534</v>
      </c>
      <c r="D8" s="22">
        <v>520</v>
      </c>
      <c r="E8" s="84">
        <f t="shared" si="1"/>
        <v>2.696512935883015</v>
      </c>
      <c r="F8" s="84">
        <f>B8+E8+C8</f>
        <v>19.570512935883013</v>
      </c>
      <c r="G8" s="145">
        <f>F8*$G$1</f>
        <v>1519.8460346006748</v>
      </c>
      <c r="H8" s="132">
        <v>1539</v>
      </c>
      <c r="I8" s="146">
        <f>H8-G8</f>
        <v>19.153965399325216</v>
      </c>
    </row>
    <row r="9" spans="1:9" s="8" customFormat="1" ht="15">
      <c r="A9" s="104" t="s">
        <v>850</v>
      </c>
      <c r="B9" s="22">
        <v>19.76</v>
      </c>
      <c r="C9" s="22">
        <f>B9*0.1</f>
        <v>1.9760000000000002</v>
      </c>
      <c r="D9" s="22">
        <v>370</v>
      </c>
      <c r="E9" s="84">
        <f t="shared" si="1"/>
        <v>1.9186726659167606</v>
      </c>
      <c r="F9" s="84">
        <f>B9+E9+C9</f>
        <v>23.65467266591676</v>
      </c>
      <c r="G9" s="145">
        <f>F9*$G$1</f>
        <v>1837.0218792350954</v>
      </c>
      <c r="H9" s="119">
        <f>1815+22</f>
        <v>1837</v>
      </c>
      <c r="I9" s="146">
        <f>H9-G9</f>
        <v>-0.021879235095411786</v>
      </c>
    </row>
    <row r="10" spans="1:9" s="15" customFormat="1" ht="15">
      <c r="A10" s="103" t="s">
        <v>418</v>
      </c>
      <c r="B10" s="22">
        <v>35.24</v>
      </c>
      <c r="C10" s="22">
        <f t="shared" si="0"/>
        <v>3.5240000000000005</v>
      </c>
      <c r="D10" s="22">
        <v>420</v>
      </c>
      <c r="E10" s="84">
        <f t="shared" si="1"/>
        <v>2.177952755905512</v>
      </c>
      <c r="F10" s="84">
        <f t="shared" si="4"/>
        <v>40.94195275590552</v>
      </c>
      <c r="G10" s="145">
        <f t="shared" si="2"/>
        <v>3179.5520510236224</v>
      </c>
      <c r="H10" s="119">
        <v>3141</v>
      </c>
      <c r="I10" s="146">
        <f t="shared" si="3"/>
        <v>-38.552051023622425</v>
      </c>
    </row>
    <row r="11" spans="1:9" s="15" customFormat="1" ht="15">
      <c r="A11" s="103" t="s">
        <v>851</v>
      </c>
      <c r="B11" s="22">
        <v>26.07</v>
      </c>
      <c r="C11" s="22">
        <f>B11*0.1</f>
        <v>2.607</v>
      </c>
      <c r="D11" s="22">
        <v>285</v>
      </c>
      <c r="E11" s="84">
        <f t="shared" si="1"/>
        <v>1.477896512935883</v>
      </c>
      <c r="F11" s="84">
        <f t="shared" si="4"/>
        <v>30.15489651293588</v>
      </c>
      <c r="G11" s="145">
        <f t="shared" si="2"/>
        <v>2341.8292631946006</v>
      </c>
      <c r="H11" s="119">
        <f>2329+13</f>
        <v>2342</v>
      </c>
      <c r="I11" s="146">
        <f t="shared" si="3"/>
        <v>0.1707368053994287</v>
      </c>
    </row>
    <row r="12" spans="1:9" s="15" customFormat="1" ht="15">
      <c r="A12" s="103" t="s">
        <v>601</v>
      </c>
      <c r="B12" s="22">
        <v>21.5</v>
      </c>
      <c r="C12" s="22">
        <f t="shared" si="0"/>
        <v>2.15</v>
      </c>
      <c r="D12" s="22">
        <v>1390</v>
      </c>
      <c r="E12" s="84">
        <f t="shared" si="1"/>
        <v>7.207986501687289</v>
      </c>
      <c r="F12" s="84">
        <f t="shared" si="4"/>
        <v>30.857986501687286</v>
      </c>
      <c r="G12" s="145">
        <f t="shared" si="2"/>
        <v>2396.4312317210347</v>
      </c>
      <c r="H12" s="119">
        <v>2482</v>
      </c>
      <c r="I12" s="146">
        <f t="shared" si="3"/>
        <v>85.56876827896531</v>
      </c>
    </row>
    <row r="13" spans="1:10" s="8" customFormat="1" ht="15">
      <c r="A13" s="104" t="s">
        <v>224</v>
      </c>
      <c r="B13" s="85"/>
      <c r="C13" s="85"/>
      <c r="D13" s="22">
        <v>4565</v>
      </c>
      <c r="E13" s="84">
        <f t="shared" si="1"/>
        <v>23.672272215973006</v>
      </c>
      <c r="F13" s="85"/>
      <c r="G13" s="28"/>
      <c r="H13" s="28"/>
      <c r="I13" s="28"/>
      <c r="J13" s="32"/>
    </row>
    <row r="14" spans="1:9" s="8" customFormat="1" ht="15">
      <c r="A14" s="25"/>
      <c r="B14" s="86"/>
      <c r="C14" s="86"/>
      <c r="D14" s="86">
        <f>SUM(D4:D13)</f>
        <v>8890</v>
      </c>
      <c r="E14" s="1">
        <v>46.1</v>
      </c>
      <c r="F14" s="113"/>
      <c r="G14" s="28"/>
      <c r="H14" s="28"/>
      <c r="I14" s="28"/>
    </row>
    <row r="17" ht="21">
      <c r="A17" s="130"/>
    </row>
    <row r="18" ht="21">
      <c r="A18" s="130"/>
    </row>
    <row r="19" ht="18.75" customHeight="1">
      <c r="A19" s="130"/>
    </row>
    <row r="20" ht="21">
      <c r="A20" s="130"/>
    </row>
    <row r="21" ht="21">
      <c r="A21" s="13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205</v>
      </c>
      <c r="B1" s="10">
        <v>42481</v>
      </c>
      <c r="C1" s="10"/>
      <c r="D1" s="10"/>
      <c r="E1" s="10"/>
      <c r="F1" s="11" t="s">
        <v>206</v>
      </c>
      <c r="G1" s="106">
        <v>76.77</v>
      </c>
      <c r="H1" s="8" t="s">
        <v>207</v>
      </c>
    </row>
    <row r="2" s="8" customFormat="1" ht="23.25" customHeight="1">
      <c r="A2" s="33" t="s">
        <v>853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764</v>
      </c>
      <c r="B4" s="22">
        <v>14</v>
      </c>
      <c r="C4" s="22">
        <f aca="true" t="shared" si="0" ref="C4:C12">B4*0.1</f>
        <v>1.4000000000000001</v>
      </c>
      <c r="D4" s="22">
        <v>250</v>
      </c>
      <c r="E4" s="84">
        <f aca="true" t="shared" si="1" ref="E4:E12">D4/$D$16*$E$16</f>
        <v>1.4072039072039073</v>
      </c>
      <c r="F4" s="84">
        <f>B4+E4+C4</f>
        <v>16.807203907203906</v>
      </c>
      <c r="G4" s="145">
        <f aca="true" t="shared" si="2" ref="G4:G12">F4*$G$1</f>
        <v>1290.2890439560438</v>
      </c>
      <c r="H4" s="150">
        <v>1296</v>
      </c>
      <c r="I4" s="146">
        <f aca="true" t="shared" si="3" ref="I4:I12">H4-G4</f>
        <v>5.71095604395623</v>
      </c>
    </row>
    <row r="5" spans="1:9" s="15" customFormat="1" ht="15">
      <c r="A5" s="103" t="s">
        <v>735</v>
      </c>
      <c r="B5" s="22">
        <v>37.33</v>
      </c>
      <c r="C5" s="22">
        <f t="shared" si="0"/>
        <v>3.733</v>
      </c>
      <c r="D5" s="22">
        <v>450</v>
      </c>
      <c r="E5" s="84">
        <f t="shared" si="1"/>
        <v>2.532967032967033</v>
      </c>
      <c r="F5" s="84">
        <f aca="true" t="shared" si="4" ref="F5:F12">B5+E5+C5</f>
        <v>43.59596703296703</v>
      </c>
      <c r="G5" s="145">
        <f t="shared" si="2"/>
        <v>3346.862389120879</v>
      </c>
      <c r="H5" s="119">
        <f>3292+60</f>
        <v>3352</v>
      </c>
      <c r="I5" s="146">
        <f t="shared" si="3"/>
        <v>5.1376108791209845</v>
      </c>
    </row>
    <row r="6" spans="1:9" s="8" customFormat="1" ht="15">
      <c r="A6" s="104" t="s">
        <v>134</v>
      </c>
      <c r="B6" s="22">
        <v>44.86</v>
      </c>
      <c r="C6" s="22">
        <f t="shared" si="0"/>
        <v>4.486</v>
      </c>
      <c r="D6" s="22">
        <v>720</v>
      </c>
      <c r="E6" s="84">
        <f t="shared" si="1"/>
        <v>4.0527472527472534</v>
      </c>
      <c r="F6" s="84">
        <f t="shared" si="4"/>
        <v>53.39874725274725</v>
      </c>
      <c r="G6" s="145">
        <f t="shared" si="2"/>
        <v>4099.421826593406</v>
      </c>
      <c r="H6" s="119">
        <f>3979+120</f>
        <v>4099</v>
      </c>
      <c r="I6" s="146">
        <f t="shared" si="3"/>
        <v>-0.4218265934059673</v>
      </c>
    </row>
    <row r="7" spans="1:9" s="15" customFormat="1" ht="15">
      <c r="A7" s="103" t="s">
        <v>145</v>
      </c>
      <c r="B7" s="22">
        <v>23.22</v>
      </c>
      <c r="C7" s="22">
        <f>B7*0.1</f>
        <v>2.322</v>
      </c>
      <c r="D7" s="22">
        <v>340</v>
      </c>
      <c r="E7" s="84">
        <f t="shared" si="1"/>
        <v>1.9137973137973139</v>
      </c>
      <c r="F7" s="84">
        <f>B7+E7+C7</f>
        <v>27.455797313797312</v>
      </c>
      <c r="G7" s="145">
        <f>F7*$G$1</f>
        <v>2107.7815597802196</v>
      </c>
      <c r="H7" s="119">
        <f>2069+39</f>
        <v>2108</v>
      </c>
      <c r="I7" s="146">
        <f>H7-G7</f>
        <v>0.21844021978040473</v>
      </c>
    </row>
    <row r="8" spans="1:9" s="15" customFormat="1" ht="15">
      <c r="A8" s="103" t="s">
        <v>704</v>
      </c>
      <c r="B8" s="22">
        <v>14.92</v>
      </c>
      <c r="C8" s="22">
        <f>B8*0.1</f>
        <v>1.492</v>
      </c>
      <c r="D8" s="22">
        <v>480</v>
      </c>
      <c r="E8" s="84">
        <f t="shared" si="1"/>
        <v>2.701831501831502</v>
      </c>
      <c r="F8" s="84">
        <f>B8+E8+C8</f>
        <v>19.113831501831502</v>
      </c>
      <c r="G8" s="145">
        <f>F8*$G$1</f>
        <v>1467.3688443956044</v>
      </c>
      <c r="H8" s="119">
        <v>1385</v>
      </c>
      <c r="I8" s="146">
        <f>H8-G8</f>
        <v>-82.36884439560436</v>
      </c>
    </row>
    <row r="9" spans="1:9" s="8" customFormat="1" ht="15">
      <c r="A9" s="104" t="s">
        <v>490</v>
      </c>
      <c r="B9" s="22">
        <v>12.42</v>
      </c>
      <c r="C9" s="22">
        <f>B9*0.1</f>
        <v>1.242</v>
      </c>
      <c r="D9" s="22">
        <v>470</v>
      </c>
      <c r="E9" s="84">
        <f t="shared" si="1"/>
        <v>2.6455433455433455</v>
      </c>
      <c r="F9" s="84">
        <f>B9+E9+C9</f>
        <v>16.307543345543344</v>
      </c>
      <c r="G9" s="145">
        <f>F9*$G$1</f>
        <v>1251.9301026373626</v>
      </c>
      <c r="H9" s="119">
        <f>1234+18</f>
        <v>1252</v>
      </c>
      <c r="I9" s="146">
        <f>H9-G9</f>
        <v>0.06989736263744817</v>
      </c>
    </row>
    <row r="10" spans="1:9" s="15" customFormat="1" ht="15">
      <c r="A10" s="103" t="s">
        <v>283</v>
      </c>
      <c r="B10" s="22">
        <v>6.68</v>
      </c>
      <c r="C10" s="22">
        <f t="shared" si="0"/>
        <v>0.668</v>
      </c>
      <c r="D10" s="22">
        <v>35</v>
      </c>
      <c r="E10" s="84">
        <f t="shared" si="1"/>
        <v>0.19700854700854703</v>
      </c>
      <c r="F10" s="84">
        <f t="shared" si="4"/>
        <v>7.545008547008547</v>
      </c>
      <c r="G10" s="145">
        <f t="shared" si="2"/>
        <v>579.2303061538461</v>
      </c>
      <c r="H10" s="119">
        <v>582</v>
      </c>
      <c r="I10" s="146">
        <f t="shared" si="3"/>
        <v>2.7696938461539276</v>
      </c>
    </row>
    <row r="11" spans="1:9" s="15" customFormat="1" ht="15">
      <c r="A11" s="103" t="s">
        <v>254</v>
      </c>
      <c r="B11" s="22">
        <v>3.25</v>
      </c>
      <c r="C11" s="22">
        <f>B11*0.1</f>
        <v>0.325</v>
      </c>
      <c r="D11" s="22">
        <v>100</v>
      </c>
      <c r="E11" s="84">
        <f t="shared" si="1"/>
        <v>0.5628815628815629</v>
      </c>
      <c r="F11" s="84">
        <f t="shared" si="4"/>
        <v>4.137881562881563</v>
      </c>
      <c r="G11" s="145">
        <f t="shared" si="2"/>
        <v>317.66516758241755</v>
      </c>
      <c r="H11" s="119">
        <f>296+22</f>
        <v>318</v>
      </c>
      <c r="I11" s="146">
        <f t="shared" si="3"/>
        <v>0.3348324175824473</v>
      </c>
    </row>
    <row r="12" spans="1:9" s="15" customFormat="1" ht="15">
      <c r="A12" s="103" t="s">
        <v>854</v>
      </c>
      <c r="B12" s="22">
        <v>10.75</v>
      </c>
      <c r="C12" s="22">
        <f t="shared" si="0"/>
        <v>1.075</v>
      </c>
      <c r="D12" s="22">
        <v>200</v>
      </c>
      <c r="E12" s="84">
        <f t="shared" si="1"/>
        <v>1.1257631257631258</v>
      </c>
      <c r="F12" s="84">
        <f t="shared" si="4"/>
        <v>12.950763125763125</v>
      </c>
      <c r="G12" s="145">
        <f t="shared" si="2"/>
        <v>994.230085164835</v>
      </c>
      <c r="H12" s="119">
        <f>981+13</f>
        <v>994</v>
      </c>
      <c r="I12" s="146">
        <f t="shared" si="3"/>
        <v>-0.23008516483503172</v>
      </c>
    </row>
    <row r="13" spans="1:9" s="15" customFormat="1" ht="15">
      <c r="A13" s="104" t="s">
        <v>630</v>
      </c>
      <c r="B13" s="22">
        <v>20.75</v>
      </c>
      <c r="C13" s="22">
        <f>B13*0.1</f>
        <v>2.075</v>
      </c>
      <c r="D13" s="22">
        <v>300</v>
      </c>
      <c r="E13" s="84">
        <f>D13/$D$16*$E$16</f>
        <v>1.6886446886446889</v>
      </c>
      <c r="F13" s="84">
        <f>B13+E13+C13</f>
        <v>24.51364468864469</v>
      </c>
      <c r="G13" s="145">
        <f>F13*$G$1</f>
        <v>1881.9125027472526</v>
      </c>
      <c r="H13" s="119">
        <f>1764+118</f>
        <v>1882</v>
      </c>
      <c r="I13" s="146">
        <f>H13-G13</f>
        <v>0.08749725274742559</v>
      </c>
    </row>
    <row r="14" spans="1:9" s="15" customFormat="1" ht="15">
      <c r="A14" s="103" t="s">
        <v>855</v>
      </c>
      <c r="B14" s="22">
        <v>6.17</v>
      </c>
      <c r="C14" s="22">
        <f>B14*0.1</f>
        <v>0.617</v>
      </c>
      <c r="D14" s="22">
        <v>80</v>
      </c>
      <c r="E14" s="84">
        <f>D14/$D$16*$E$16</f>
        <v>0.4503052503052503</v>
      </c>
      <c r="F14" s="84">
        <f>B14+E14+C14</f>
        <v>7.23730525030525</v>
      </c>
      <c r="G14" s="145">
        <f>F14*$G$1</f>
        <v>555.6079240659341</v>
      </c>
      <c r="H14" s="119">
        <f>547+9</f>
        <v>556</v>
      </c>
      <c r="I14" s="146">
        <f>H14-G14</f>
        <v>0.3920759340659288</v>
      </c>
    </row>
    <row r="15" spans="1:10" s="8" customFormat="1" ht="15">
      <c r="A15" s="103" t="s">
        <v>224</v>
      </c>
      <c r="B15" s="85"/>
      <c r="C15" s="85"/>
      <c r="D15" s="22">
        <v>4765</v>
      </c>
      <c r="E15" s="84">
        <f>D15/$D$16*$E$16</f>
        <v>26.821306471306475</v>
      </c>
      <c r="F15" s="85"/>
      <c r="G15" s="28"/>
      <c r="H15" s="28"/>
      <c r="I15" s="28"/>
      <c r="J15" s="32"/>
    </row>
    <row r="16" spans="1:9" s="8" customFormat="1" ht="15">
      <c r="A16" s="25"/>
      <c r="B16" s="86"/>
      <c r="C16" s="86"/>
      <c r="D16" s="86">
        <f>SUM(D4:D15)</f>
        <v>8190</v>
      </c>
      <c r="E16" s="1">
        <v>46.1</v>
      </c>
      <c r="F16" s="113"/>
      <c r="G16" s="28"/>
      <c r="H16" s="28"/>
      <c r="I16" s="28"/>
    </row>
    <row r="17" ht="15">
      <c r="E17" s="149"/>
    </row>
    <row r="19" ht="21">
      <c r="A19" s="130"/>
    </row>
    <row r="20" ht="21">
      <c r="A20" s="130"/>
    </row>
    <row r="21" ht="18.75" customHeight="1">
      <c r="A21" s="130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205</v>
      </c>
      <c r="B1" s="10">
        <v>42489</v>
      </c>
      <c r="C1" s="10"/>
      <c r="D1" s="10"/>
      <c r="E1" s="10"/>
      <c r="F1" s="11" t="s">
        <v>206</v>
      </c>
      <c r="G1" s="106">
        <v>76.09</v>
      </c>
      <c r="H1" s="8" t="s">
        <v>207</v>
      </c>
    </row>
    <row r="2" s="8" customFormat="1" ht="23.25" customHeight="1">
      <c r="A2" s="33" t="s">
        <v>856</v>
      </c>
    </row>
    <row r="3" spans="1:9" s="15" customFormat="1" ht="45">
      <c r="A3" s="13" t="s">
        <v>208</v>
      </c>
      <c r="B3" s="14" t="s">
        <v>292</v>
      </c>
      <c r="C3" s="14" t="s">
        <v>488</v>
      </c>
      <c r="D3" s="14" t="s">
        <v>522</v>
      </c>
      <c r="E3" s="14" t="s">
        <v>293</v>
      </c>
      <c r="F3" s="13" t="s">
        <v>294</v>
      </c>
      <c r="G3" s="13" t="s">
        <v>214</v>
      </c>
      <c r="H3" s="148" t="s">
        <v>295</v>
      </c>
      <c r="I3" s="13" t="s">
        <v>296</v>
      </c>
    </row>
    <row r="4" spans="1:9" s="15" customFormat="1" ht="15">
      <c r="A4" s="103" t="s">
        <v>857</v>
      </c>
      <c r="B4" s="22">
        <v>12.92</v>
      </c>
      <c r="C4" s="22">
        <f aca="true" t="shared" si="0" ref="C4:C12">B4*0.1</f>
        <v>1.292</v>
      </c>
      <c r="D4" s="22">
        <v>110</v>
      </c>
      <c r="E4" s="84">
        <f>D4/$D$16*$E$16</f>
        <v>0.5886244921648288</v>
      </c>
      <c r="F4" s="84">
        <f>B4+E4+C4</f>
        <v>14.800624492164829</v>
      </c>
      <c r="G4" s="145">
        <f aca="true" t="shared" si="1" ref="G4:G12">F4*$G$1</f>
        <v>1126.179517608822</v>
      </c>
      <c r="H4" s="150">
        <f>1380-254</f>
        <v>1126</v>
      </c>
      <c r="I4" s="146">
        <f aca="true" t="shared" si="2" ref="I4:I12">H4-G4</f>
        <v>-0.17951760882192502</v>
      </c>
    </row>
    <row r="5" spans="1:9" s="15" customFormat="1" ht="15">
      <c r="A5" s="103" t="s">
        <v>580</v>
      </c>
      <c r="B5" s="22">
        <v>4.58</v>
      </c>
      <c r="C5" s="22">
        <f t="shared" si="0"/>
        <v>0.458</v>
      </c>
      <c r="D5" s="22">
        <v>170</v>
      </c>
      <c r="E5" s="84">
        <f aca="true" t="shared" si="3" ref="E5:E12">D5/$D$16*$E$16</f>
        <v>0.9096923969820081</v>
      </c>
      <c r="F5" s="84">
        <f aca="true" t="shared" si="4" ref="F5:F12">B5+E5+C5</f>
        <v>5.947692396982008</v>
      </c>
      <c r="G5" s="145">
        <f t="shared" si="1"/>
        <v>452.55991448636104</v>
      </c>
      <c r="H5" s="119">
        <v>448</v>
      </c>
      <c r="I5" s="146">
        <f t="shared" si="2"/>
        <v>-4.559914486361038</v>
      </c>
    </row>
    <row r="6" spans="1:9" s="8" customFormat="1" ht="15">
      <c r="A6" s="104" t="s">
        <v>858</v>
      </c>
      <c r="B6" s="22">
        <v>7.08</v>
      </c>
      <c r="C6" s="22">
        <f t="shared" si="0"/>
        <v>0.7080000000000001</v>
      </c>
      <c r="D6" s="22">
        <v>240</v>
      </c>
      <c r="E6" s="84">
        <f t="shared" si="3"/>
        <v>1.2842716192687174</v>
      </c>
      <c r="F6" s="84">
        <f t="shared" si="4"/>
        <v>9.072271619268717</v>
      </c>
      <c r="G6" s="145">
        <f t="shared" si="1"/>
        <v>690.3091475101567</v>
      </c>
      <c r="H6" s="119">
        <v>690</v>
      </c>
      <c r="I6" s="146">
        <f t="shared" si="2"/>
        <v>-0.309147510156663</v>
      </c>
    </row>
    <row r="7" spans="1:9" s="15" customFormat="1" ht="15">
      <c r="A7" s="103" t="s">
        <v>127</v>
      </c>
      <c r="B7" s="22">
        <v>14.58</v>
      </c>
      <c r="C7" s="22">
        <f>B7*0.1</f>
        <v>1.4580000000000002</v>
      </c>
      <c r="D7" s="22">
        <v>230</v>
      </c>
      <c r="E7" s="84">
        <f t="shared" si="3"/>
        <v>1.2307603017991875</v>
      </c>
      <c r="F7" s="84">
        <f>B7+E7+C7</f>
        <v>17.26876030179919</v>
      </c>
      <c r="G7" s="145">
        <f>F7*$G$1</f>
        <v>1313.9799713639004</v>
      </c>
      <c r="H7" s="119">
        <v>1300</v>
      </c>
      <c r="I7" s="146">
        <f>H7-G7</f>
        <v>-13.979971363900404</v>
      </c>
    </row>
    <row r="8" spans="1:9" s="15" customFormat="1" ht="15">
      <c r="A8" s="103" t="s">
        <v>44</v>
      </c>
      <c r="B8" s="22">
        <v>31.51</v>
      </c>
      <c r="C8" s="22">
        <f>B8*0.1</f>
        <v>3.1510000000000002</v>
      </c>
      <c r="D8" s="22">
        <v>2050</v>
      </c>
      <c r="E8" s="84">
        <f t="shared" si="3"/>
        <v>10.969820081253628</v>
      </c>
      <c r="F8" s="84">
        <f>B8+E8+C8</f>
        <v>45.63082008125363</v>
      </c>
      <c r="G8" s="145">
        <f>F8*$G$1</f>
        <v>3472.049099982589</v>
      </c>
      <c r="H8" s="119">
        <v>3477</v>
      </c>
      <c r="I8" s="146">
        <f>H8-G8</f>
        <v>4.950900017411186</v>
      </c>
    </row>
    <row r="9" spans="1:9" s="8" customFormat="1" ht="15">
      <c r="A9" s="104" t="s">
        <v>723</v>
      </c>
      <c r="B9" s="22">
        <v>45.67</v>
      </c>
      <c r="C9" s="22">
        <f>B9*0.1</f>
        <v>4.567</v>
      </c>
      <c r="D9" s="22">
        <v>1535</v>
      </c>
      <c r="E9" s="84">
        <f t="shared" si="3"/>
        <v>8.213987231572839</v>
      </c>
      <c r="F9" s="84">
        <f>B9+E9+C9</f>
        <v>58.45098723157284</v>
      </c>
      <c r="G9" s="145">
        <f>F9*$G$1</f>
        <v>4447.535618450377</v>
      </c>
      <c r="H9" s="119">
        <v>4421</v>
      </c>
      <c r="I9" s="146">
        <f>H9-G9</f>
        <v>-26.535618450377115</v>
      </c>
    </row>
    <row r="10" spans="1:9" s="15" customFormat="1" ht="15">
      <c r="A10" s="103" t="s">
        <v>859</v>
      </c>
      <c r="B10" s="22">
        <v>21</v>
      </c>
      <c r="C10" s="22">
        <f t="shared" si="0"/>
        <v>2.1</v>
      </c>
      <c r="D10" s="22">
        <v>995</v>
      </c>
      <c r="E10" s="84">
        <f t="shared" si="3"/>
        <v>5.324376088218224</v>
      </c>
      <c r="F10" s="84">
        <f t="shared" si="4"/>
        <v>28.424376088218224</v>
      </c>
      <c r="G10" s="145">
        <f t="shared" si="1"/>
        <v>2162.8107765525247</v>
      </c>
      <c r="H10" s="119">
        <v>2149</v>
      </c>
      <c r="I10" s="146">
        <f t="shared" si="2"/>
        <v>-13.810776552524658</v>
      </c>
    </row>
    <row r="11" spans="1:9" s="15" customFormat="1" ht="15">
      <c r="A11" s="103" t="s">
        <v>860</v>
      </c>
      <c r="B11" s="22">
        <v>18.31</v>
      </c>
      <c r="C11" s="22">
        <f>B11*0.1</f>
        <v>1.831</v>
      </c>
      <c r="D11" s="22">
        <v>310</v>
      </c>
      <c r="E11" s="84">
        <f t="shared" si="3"/>
        <v>1.6588508415554266</v>
      </c>
      <c r="F11" s="84">
        <f t="shared" si="4"/>
        <v>21.799850841555426</v>
      </c>
      <c r="G11" s="145">
        <f t="shared" si="1"/>
        <v>1658.7506505339525</v>
      </c>
      <c r="H11" s="119">
        <f>1651+8</f>
        <v>1659</v>
      </c>
      <c r="I11" s="146">
        <f t="shared" si="2"/>
        <v>0.2493494660475335</v>
      </c>
    </row>
    <row r="12" spans="1:9" s="15" customFormat="1" ht="15">
      <c r="A12" s="103" t="s">
        <v>861</v>
      </c>
      <c r="B12" s="22">
        <v>28.91</v>
      </c>
      <c r="C12" s="22">
        <f t="shared" si="0"/>
        <v>2.891</v>
      </c>
      <c r="D12" s="22">
        <v>705</v>
      </c>
      <c r="E12" s="84">
        <f t="shared" si="3"/>
        <v>3.772547881601857</v>
      </c>
      <c r="F12" s="84">
        <f t="shared" si="4"/>
        <v>35.573547881601854</v>
      </c>
      <c r="G12" s="145">
        <f t="shared" si="1"/>
        <v>2706.791258311085</v>
      </c>
      <c r="H12" s="119">
        <f>2704+3</f>
        <v>2707</v>
      </c>
      <c r="I12" s="146">
        <f t="shared" si="2"/>
        <v>0.20874168891486988</v>
      </c>
    </row>
    <row r="13" spans="1:9" s="15" customFormat="1" ht="15">
      <c r="A13" s="104" t="s">
        <v>652</v>
      </c>
      <c r="B13" s="22">
        <v>15.67</v>
      </c>
      <c r="C13" s="22">
        <f>B13*0.1</f>
        <v>1.5670000000000002</v>
      </c>
      <c r="D13" s="22">
        <v>720</v>
      </c>
      <c r="E13" s="84">
        <f>D13/$D$16*$E$16</f>
        <v>3.8528148578061523</v>
      </c>
      <c r="F13" s="84">
        <f>B13+E13+C13</f>
        <v>21.089814857806154</v>
      </c>
      <c r="G13" s="145">
        <f>F13*$G$1</f>
        <v>1604.7240125304704</v>
      </c>
      <c r="H13" s="119">
        <f>1584+21</f>
        <v>1605</v>
      </c>
      <c r="I13" s="146">
        <f>H13-G13</f>
        <v>0.2759874695295821</v>
      </c>
    </row>
    <row r="14" spans="1:9" s="15" customFormat="1" ht="15">
      <c r="A14" s="103" t="s">
        <v>675</v>
      </c>
      <c r="B14" s="22">
        <v>22.67</v>
      </c>
      <c r="C14" s="22">
        <f>B14*0.1</f>
        <v>2.2670000000000003</v>
      </c>
      <c r="D14" s="22">
        <v>90</v>
      </c>
      <c r="E14" s="84">
        <f>D14/$D$16*$E$16</f>
        <v>0.48160185722576904</v>
      </c>
      <c r="F14" s="84">
        <f>B14+E14+C14</f>
        <v>25.41860185722577</v>
      </c>
      <c r="G14" s="145">
        <f>F14*$G$1</f>
        <v>1934.101415316309</v>
      </c>
      <c r="H14" s="119">
        <f>1927+7</f>
        <v>1934</v>
      </c>
      <c r="I14" s="146">
        <f>H14-G14</f>
        <v>-0.10141531630893041</v>
      </c>
    </row>
    <row r="15" spans="1:10" s="8" customFormat="1" ht="15">
      <c r="A15" s="103" t="s">
        <v>224</v>
      </c>
      <c r="B15" s="85"/>
      <c r="C15" s="85"/>
      <c r="D15" s="22">
        <v>1460</v>
      </c>
      <c r="E15" s="84">
        <f>D15/$D$16*$E$16</f>
        <v>7.812652350551365</v>
      </c>
      <c r="F15" s="85"/>
      <c r="G15" s="28"/>
      <c r="H15" s="28"/>
      <c r="I15" s="28"/>
      <c r="J15" s="32"/>
    </row>
    <row r="16" spans="1:9" s="8" customFormat="1" ht="15">
      <c r="A16" s="25"/>
      <c r="B16" s="86"/>
      <c r="C16" s="86"/>
      <c r="D16" s="86">
        <f>SUM(D4:D15)</f>
        <v>8615</v>
      </c>
      <c r="E16" s="1">
        <v>46.1</v>
      </c>
      <c r="F16" s="113"/>
      <c r="G16" s="28"/>
      <c r="H16" s="28"/>
      <c r="I16" s="28"/>
    </row>
    <row r="18" ht="18.75" customHeight="1">
      <c r="A18" s="130" t="s">
        <v>686</v>
      </c>
    </row>
    <row r="19" spans="1:2" ht="31.5">
      <c r="A19" s="117" t="s">
        <v>723</v>
      </c>
      <c r="B19" s="117"/>
    </row>
    <row r="20" ht="15">
      <c r="A20" s="141" t="s">
        <v>862</v>
      </c>
    </row>
    <row r="21" ht="15">
      <c r="A21" s="141" t="s">
        <v>863</v>
      </c>
    </row>
  </sheetData>
  <sheetProtection/>
  <hyperlinks>
    <hyperlink ref="A20" r:id="rId1" display="https://www.cocooncenter.com/bioderma-node-shampooing-fluide-offre-speciale-400-ml/5156.html"/>
    <hyperlink ref="A21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2017-09-16T16:33:47Z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