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065" yWindow="-75" windowWidth="17580" windowHeight="12690" activeTab="13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</sheets>
  <calcPr calcId="162913"/>
</workbook>
</file>

<file path=xl/calcChain.xml><?xml version="1.0" encoding="utf-8"?>
<calcChain xmlns="http://schemas.openxmlformats.org/spreadsheetml/2006/main">
  <c r="B62" i="6" l="1"/>
  <c r="I10" i="14"/>
  <c r="B25" i="6"/>
  <c r="B55" i="6"/>
  <c r="B78" i="6"/>
  <c r="K4" i="13"/>
  <c r="I5" i="13"/>
  <c r="E55" i="14"/>
  <c r="E54" i="14"/>
  <c r="E53" i="14"/>
  <c r="E52" i="14"/>
  <c r="E12" i="14"/>
  <c r="E50" i="14"/>
  <c r="E49" i="14"/>
  <c r="E48" i="14"/>
  <c r="E46" i="14"/>
  <c r="E44" i="14"/>
  <c r="E43" i="14"/>
  <c r="E42" i="14"/>
  <c r="E41" i="14"/>
  <c r="E40" i="14"/>
  <c r="E39" i="14"/>
  <c r="E37" i="14"/>
  <c r="E36" i="14"/>
  <c r="E34" i="14"/>
  <c r="E33" i="14"/>
  <c r="E32" i="14"/>
  <c r="E30" i="14"/>
  <c r="E29" i="14"/>
  <c r="E28" i="14"/>
  <c r="E26" i="14"/>
  <c r="E25" i="14"/>
  <c r="E23" i="14"/>
  <c r="E22" i="14"/>
  <c r="E20" i="14"/>
  <c r="E19" i="14"/>
  <c r="E17" i="14"/>
  <c r="E16" i="14"/>
  <c r="E14" i="14"/>
  <c r="E11" i="14"/>
  <c r="E9" i="14"/>
  <c r="E7" i="14"/>
  <c r="E5" i="14"/>
  <c r="D30" i="14"/>
  <c r="D32" i="14"/>
  <c r="D33" i="14"/>
  <c r="D34" i="14"/>
  <c r="D36" i="14"/>
  <c r="D37" i="14"/>
  <c r="D39" i="14"/>
  <c r="D40" i="14"/>
  <c r="D41" i="14"/>
  <c r="D42" i="14"/>
  <c r="D43" i="14"/>
  <c r="D44" i="14"/>
  <c r="D46" i="14"/>
  <c r="D48" i="14"/>
  <c r="D49" i="14"/>
  <c r="D50" i="14"/>
  <c r="D12" i="14"/>
  <c r="D52" i="14"/>
  <c r="D53" i="14"/>
  <c r="D54" i="14"/>
  <c r="C55" i="14"/>
  <c r="D55" i="14" s="1"/>
  <c r="C29" i="14"/>
  <c r="D29" i="14" s="1"/>
  <c r="C28" i="14"/>
  <c r="D28" i="14" s="1"/>
  <c r="C26" i="14"/>
  <c r="D26" i="14" s="1"/>
  <c r="C25" i="14"/>
  <c r="D25" i="14" s="1"/>
  <c r="C23" i="14"/>
  <c r="D23" i="14" s="1"/>
  <c r="C22" i="14"/>
  <c r="D22" i="14" s="1"/>
  <c r="C20" i="14"/>
  <c r="D20" i="14" s="1"/>
  <c r="C19" i="14"/>
  <c r="D19" i="14" s="1"/>
  <c r="C17" i="14"/>
  <c r="D17" i="14" s="1"/>
  <c r="C16" i="14"/>
  <c r="D16" i="14" s="1"/>
  <c r="C14" i="14"/>
  <c r="D14" i="14" s="1"/>
  <c r="C11" i="14"/>
  <c r="D11" i="14" s="1"/>
  <c r="C9" i="14"/>
  <c r="D9" i="14" s="1"/>
  <c r="C7" i="14"/>
  <c r="D7" i="14" s="1"/>
  <c r="C5" i="14"/>
  <c r="D5" i="14" s="1"/>
  <c r="E56" i="14" l="1"/>
  <c r="G56" i="14" s="1"/>
  <c r="F55" i="14"/>
  <c r="F25" i="14"/>
  <c r="F37" i="14"/>
  <c r="F49" i="14"/>
  <c r="F17" i="14"/>
  <c r="F29" i="14"/>
  <c r="F9" i="14"/>
  <c r="F53" i="14"/>
  <c r="F43" i="14"/>
  <c r="F39" i="14"/>
  <c r="F23" i="14"/>
  <c r="F19" i="14"/>
  <c r="F14" i="14"/>
  <c r="F52" i="14"/>
  <c r="F50" i="14"/>
  <c r="F46" i="14"/>
  <c r="F42" i="14"/>
  <c r="F34" i="14"/>
  <c r="F30" i="14"/>
  <c r="F26" i="14"/>
  <c r="F22" i="14"/>
  <c r="F11" i="14"/>
  <c r="F54" i="14"/>
  <c r="F12" i="14"/>
  <c r="F48" i="14"/>
  <c r="F44" i="14"/>
  <c r="F40" i="14"/>
  <c r="F36" i="14"/>
  <c r="F32" i="14"/>
  <c r="F28" i="14"/>
  <c r="F20" i="14"/>
  <c r="F16" i="14"/>
  <c r="F7" i="14"/>
  <c r="F5" i="14"/>
  <c r="F33" i="14" l="1"/>
  <c r="F41" i="14"/>
  <c r="B1" i="14" l="1"/>
  <c r="G17" i="14" l="1"/>
  <c r="I17" i="14" s="1"/>
  <c r="G11" i="14"/>
  <c r="I11" i="14" s="1"/>
  <c r="K10" i="14" s="1"/>
  <c r="G29" i="14"/>
  <c r="I29" i="14" s="1"/>
  <c r="G48" i="14"/>
  <c r="I48" i="14" s="1"/>
  <c r="G43" i="14"/>
  <c r="I43" i="14" s="1"/>
  <c r="G12" i="14"/>
  <c r="I12" i="14" s="1"/>
  <c r="G53" i="14"/>
  <c r="I53" i="14" s="1"/>
  <c r="G40" i="14"/>
  <c r="I40" i="14" s="1"/>
  <c r="G23" i="14"/>
  <c r="I23" i="14" s="1"/>
  <c r="G54" i="14"/>
  <c r="I54" i="14" s="1"/>
  <c r="G9" i="14"/>
  <c r="I9" i="14" s="1"/>
  <c r="I8" i="14" s="1"/>
  <c r="K8" i="14" s="1"/>
  <c r="B27" i="6" s="1"/>
  <c r="G28" i="14"/>
  <c r="I28" i="14" s="1"/>
  <c r="G52" i="14"/>
  <c r="I52" i="14" s="1"/>
  <c r="G7" i="14"/>
  <c r="I7" i="14" s="1"/>
  <c r="I6" i="14" s="1"/>
  <c r="K6" i="14" s="1"/>
  <c r="B82" i="6" s="1"/>
  <c r="G42" i="14"/>
  <c r="I42" i="14" s="1"/>
  <c r="G16" i="14"/>
  <c r="I16" i="14" s="1"/>
  <c r="I15" i="14" s="1"/>
  <c r="K15" i="14" s="1"/>
  <c r="B18" i="6" s="1"/>
  <c r="G46" i="14"/>
  <c r="I46" i="14" s="1"/>
  <c r="I45" i="14" s="1"/>
  <c r="K45" i="14" s="1"/>
  <c r="B77" i="6" s="1"/>
  <c r="G41" i="14"/>
  <c r="I41" i="14" s="1"/>
  <c r="G49" i="14"/>
  <c r="I49" i="14" s="1"/>
  <c r="G44" i="14"/>
  <c r="I44" i="14" s="1"/>
  <c r="G32" i="14"/>
  <c r="I32" i="14" s="1"/>
  <c r="G36" i="14"/>
  <c r="I36" i="14" s="1"/>
  <c r="G20" i="14"/>
  <c r="I20" i="14" s="1"/>
  <c r="G55" i="14"/>
  <c r="I55" i="14" s="1"/>
  <c r="G5" i="14"/>
  <c r="I5" i="14" s="1"/>
  <c r="I4" i="14" s="1"/>
  <c r="K4" i="14" s="1"/>
  <c r="B31" i="6" s="1"/>
  <c r="G34" i="14"/>
  <c r="I34" i="14" s="1"/>
  <c r="G37" i="14"/>
  <c r="I37" i="14" s="1"/>
  <c r="G22" i="14"/>
  <c r="I22" i="14" s="1"/>
  <c r="I21" i="14" s="1"/>
  <c r="K21" i="14" s="1"/>
  <c r="B49" i="6" s="1"/>
  <c r="G25" i="14"/>
  <c r="I25" i="14" s="1"/>
  <c r="G26" i="14"/>
  <c r="I26" i="14" s="1"/>
  <c r="G33" i="14"/>
  <c r="I33" i="14" s="1"/>
  <c r="G30" i="14"/>
  <c r="I30" i="14" s="1"/>
  <c r="G39" i="14"/>
  <c r="I39" i="14" s="1"/>
  <c r="G14" i="14"/>
  <c r="I14" i="14" s="1"/>
  <c r="I13" i="14" s="1"/>
  <c r="K13" i="14" s="1"/>
  <c r="B52" i="6" s="1"/>
  <c r="G19" i="14"/>
  <c r="I19" i="14" s="1"/>
  <c r="I18" i="14" s="1"/>
  <c r="K18" i="14" s="1"/>
  <c r="B57" i="6" s="1"/>
  <c r="G50" i="14"/>
  <c r="I50" i="14" s="1"/>
  <c r="J14" i="13"/>
  <c r="I24" i="14" l="1"/>
  <c r="K24" i="14" s="1"/>
  <c r="B8" i="6" s="1"/>
  <c r="I27" i="14"/>
  <c r="K27" i="14" s="1"/>
  <c r="B10" i="6" s="1"/>
  <c r="I35" i="14"/>
  <c r="K35" i="14" s="1"/>
  <c r="B70" i="6" s="1"/>
  <c r="I47" i="14"/>
  <c r="K47" i="14" s="1"/>
  <c r="B41" i="6" s="1"/>
  <c r="I38" i="14"/>
  <c r="K38" i="14" s="1"/>
  <c r="B39" i="6" s="1"/>
  <c r="I31" i="14"/>
  <c r="K31" i="14" s="1"/>
  <c r="B48" i="6" s="1"/>
  <c r="I51" i="14"/>
  <c r="K51" i="14" s="1"/>
  <c r="B59" i="6" s="1"/>
  <c r="J30" i="13"/>
  <c r="J27" i="13"/>
  <c r="K27" i="13" l="1"/>
  <c r="K23" i="13"/>
  <c r="L28" i="13"/>
  <c r="L29" i="13"/>
  <c r="L26" i="13"/>
  <c r="B1" i="13" l="1"/>
  <c r="J19" i="13" l="1"/>
  <c r="E47" i="13" l="1"/>
  <c r="E44" i="13"/>
  <c r="C44" i="13"/>
  <c r="C34" i="13"/>
  <c r="C29" i="13"/>
  <c r="C28" i="13"/>
  <c r="C26" i="13"/>
  <c r="D26" i="13" s="1"/>
  <c r="C22" i="13"/>
  <c r="C21" i="13"/>
  <c r="D21" i="13" s="1"/>
  <c r="C20" i="13"/>
  <c r="D20" i="13" s="1"/>
  <c r="D47" i="13"/>
  <c r="D46" i="13"/>
  <c r="D45" i="13"/>
  <c r="D44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4" i="13"/>
  <c r="D32" i="13"/>
  <c r="D31" i="13"/>
  <c r="D29" i="13"/>
  <c r="D28" i="13"/>
  <c r="D22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21" i="6" s="1"/>
  <c r="F40" i="13"/>
  <c r="G40" i="13" s="1"/>
  <c r="I40" i="13" s="1"/>
  <c r="I39" i="13" s="1"/>
  <c r="K39" i="13" s="1"/>
  <c r="B32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F31" i="13"/>
  <c r="G31" i="13" s="1"/>
  <c r="I31" i="13" s="1"/>
  <c r="F36" i="13"/>
  <c r="G36" i="13" s="1"/>
  <c r="I36" i="13" s="1"/>
  <c r="I35" i="13" s="1"/>
  <c r="K35" i="13" s="1"/>
  <c r="F34" i="13"/>
  <c r="G34" i="13" s="1"/>
  <c r="I34" i="13" s="1"/>
  <c r="I33" i="13" s="1"/>
  <c r="K33" i="13" s="1"/>
  <c r="B17" i="6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50" i="6" s="1"/>
  <c r="F29" i="13"/>
  <c r="G29" i="13" s="1"/>
  <c r="I29" i="13" s="1"/>
  <c r="F7" i="13"/>
  <c r="G7" i="13" s="1"/>
  <c r="I7" i="13" s="1"/>
  <c r="I19" i="13" l="1"/>
  <c r="K19" i="13" s="1"/>
  <c r="B12" i="6" s="1"/>
  <c r="I23" i="13"/>
  <c r="I8" i="13"/>
  <c r="K8" i="13" s="1"/>
  <c r="I4" i="13"/>
  <c r="I43" i="13"/>
  <c r="K43" i="13" s="1"/>
  <c r="I14" i="13"/>
  <c r="K14" i="13" s="1"/>
  <c r="B44" i="6" s="1"/>
  <c r="I30" i="13"/>
  <c r="K30" i="13" s="1"/>
  <c r="I27" i="13"/>
  <c r="B56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F30" i="12"/>
  <c r="G30" i="12" s="1"/>
  <c r="I30" i="12" s="1"/>
  <c r="I29" i="12" s="1"/>
  <c r="K29" i="12" s="1"/>
  <c r="F6" i="12"/>
  <c r="G6" i="12" s="1"/>
  <c r="I6" i="12" s="1"/>
  <c r="F9" i="12"/>
  <c r="G9" i="12" s="1"/>
  <c r="I9" i="12" s="1"/>
  <c r="F20" i="12"/>
  <c r="G20" i="12" s="1"/>
  <c r="I20" i="12" s="1"/>
  <c r="F12" i="12"/>
  <c r="G12" i="12" s="1"/>
  <c r="I12" i="12" s="1"/>
  <c r="F11" i="12"/>
  <c r="G11" i="12" s="1"/>
  <c r="I11" i="12" s="1"/>
  <c r="F8" i="12"/>
  <c r="G8" i="12" s="1"/>
  <c r="I8" i="12" s="1"/>
  <c r="F26" i="12"/>
  <c r="G26" i="12" s="1"/>
  <c r="I26" i="12" s="1"/>
  <c r="F32" i="12"/>
  <c r="G32" i="12" s="1"/>
  <c r="F23" i="12"/>
  <c r="G23" i="12" s="1"/>
  <c r="I23" i="12" s="1"/>
  <c r="F14" i="12"/>
  <c r="G14" i="12" s="1"/>
  <c r="I14" i="12" s="1"/>
  <c r="F7" i="12"/>
  <c r="G7" i="12" s="1"/>
  <c r="I7" i="12" s="1"/>
  <c r="F21" i="12"/>
  <c r="G21" i="12" s="1"/>
  <c r="I21" i="12" s="1"/>
  <c r="F24" i="12"/>
  <c r="G24" i="12" s="1"/>
  <c r="I24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E38" i="11" s="1"/>
  <c r="F5" i="11" s="1"/>
  <c r="D26" i="11"/>
  <c r="D24" i="11"/>
  <c r="D7" i="11"/>
  <c r="F28" i="12" l="1"/>
  <c r="G28" i="12" s="1"/>
  <c r="I28" i="12" s="1"/>
  <c r="I27" i="12" s="1"/>
  <c r="K27" i="12" s="1"/>
  <c r="G33" i="12"/>
  <c r="G34" i="12" s="1"/>
  <c r="F5" i="12"/>
  <c r="G5" i="12" s="1"/>
  <c r="I5" i="12" s="1"/>
  <c r="I4" i="12" s="1"/>
  <c r="K4" i="12" s="1"/>
  <c r="B64" i="6" s="1"/>
  <c r="F15" i="12"/>
  <c r="G15" i="12" s="1"/>
  <c r="I15" i="12" s="1"/>
  <c r="F18" i="12"/>
  <c r="G18" i="12" s="1"/>
  <c r="I18" i="12" s="1"/>
  <c r="I16" i="12" s="1"/>
  <c r="K16" i="12" s="1"/>
  <c r="I25" i="12"/>
  <c r="K25" i="12" s="1"/>
  <c r="I10" i="12"/>
  <c r="K10" i="12" s="1"/>
  <c r="I22" i="12"/>
  <c r="K22" i="12" s="1"/>
  <c r="I13" i="12"/>
  <c r="K13" i="12" s="1"/>
  <c r="I19" i="12"/>
  <c r="K19" i="12" s="1"/>
  <c r="F12" i="11"/>
  <c r="F37" i="11"/>
  <c r="B1" i="11" l="1"/>
  <c r="G37" i="11" s="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12" i="11" l="1"/>
  <c r="F26" i="11"/>
  <c r="G26" i="11" s="1"/>
  <c r="I26" i="11" s="1"/>
  <c r="I25" i="11" s="1"/>
  <c r="K25" i="11" s="1"/>
  <c r="B34" i="6" s="1"/>
  <c r="F24" i="11"/>
  <c r="G24" i="11" s="1"/>
  <c r="I24" i="11" s="1"/>
  <c r="I23" i="11" s="1"/>
  <c r="K23" i="11" s="1"/>
  <c r="B26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22" i="6" s="1"/>
  <c r="F35" i="11"/>
  <c r="G35" i="11" s="1"/>
  <c r="I35" i="11" s="1"/>
  <c r="G20" i="11"/>
  <c r="I20" i="11" s="1"/>
  <c r="I19" i="11" s="1"/>
  <c r="K19" i="11" s="1"/>
  <c r="B58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19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C39" i="10"/>
  <c r="D39" i="10" s="1"/>
  <c r="C33" i="10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3" i="10"/>
  <c r="D32" i="10"/>
  <c r="D31" i="10"/>
  <c r="D43" i="10"/>
  <c r="D42" i="10"/>
  <c r="D41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13" i="10"/>
  <c r="G13" i="10" s="1"/>
  <c r="I13" i="10" s="1"/>
  <c r="I12" i="10" s="1"/>
  <c r="K12" i="10" s="1"/>
  <c r="B81" i="6" s="1"/>
  <c r="F29" i="10"/>
  <c r="G29" i="10" s="1"/>
  <c r="I29" i="10" s="1"/>
  <c r="F39" i="10"/>
  <c r="G39" i="10" s="1"/>
  <c r="I39" i="10" s="1"/>
  <c r="I38" i="10" s="1"/>
  <c r="K38" i="10" s="1"/>
  <c r="F10" i="10"/>
  <c r="G10" i="10" s="1"/>
  <c r="I10" i="10" s="1"/>
  <c r="F27" i="10"/>
  <c r="G27" i="10" s="1"/>
  <c r="I27" i="10" s="1"/>
  <c r="F6" i="10"/>
  <c r="G6" i="10" s="1"/>
  <c r="I6" i="10" s="1"/>
  <c r="F11" i="10"/>
  <c r="G11" i="10" s="1"/>
  <c r="I11" i="10" s="1"/>
  <c r="F31" i="10"/>
  <c r="G31" i="10" s="1"/>
  <c r="I31" i="10" s="1"/>
  <c r="F28" i="10"/>
  <c r="G28" i="10" s="1"/>
  <c r="I28" i="10" s="1"/>
  <c r="F35" i="10"/>
  <c r="G35" i="10" s="1"/>
  <c r="I35" i="10" s="1"/>
  <c r="F15" i="10"/>
  <c r="G15" i="10" s="1"/>
  <c r="I15" i="10" s="1"/>
  <c r="F54" i="10"/>
  <c r="G54" i="10" s="1"/>
  <c r="I54" i="10" s="1"/>
  <c r="F59" i="10"/>
  <c r="G59" i="10" s="1"/>
  <c r="F50" i="10"/>
  <c r="G50" i="10" s="1"/>
  <c r="I50" i="10" s="1"/>
  <c r="F47" i="10"/>
  <c r="G47" i="10" s="1"/>
  <c r="I47" i="10" s="1"/>
  <c r="F23" i="10"/>
  <c r="G23" i="10" s="1"/>
  <c r="I23" i="10" s="1"/>
  <c r="F21" i="10"/>
  <c r="G21" i="10" s="1"/>
  <c r="I21" i="10" s="1"/>
  <c r="F22" i="10"/>
  <c r="G22" i="10" s="1"/>
  <c r="I22" i="10" s="1"/>
  <c r="F32" i="10" l="1"/>
  <c r="G32" i="10" s="1"/>
  <c r="I32" i="10" s="1"/>
  <c r="F5" i="10"/>
  <c r="G5" i="10" s="1"/>
  <c r="I5" i="10" s="1"/>
  <c r="F45" i="10"/>
  <c r="G45" i="10" s="1"/>
  <c r="I45" i="10" s="1"/>
  <c r="I44" i="10" s="1"/>
  <c r="K44" i="10" s="1"/>
  <c r="B45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67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F48" i="10"/>
  <c r="G48" i="10" s="1"/>
  <c r="I48" i="10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51" i="10"/>
  <c r="K51" i="10" s="1"/>
  <c r="B29" i="6" s="1"/>
  <c r="I14" i="10"/>
  <c r="K14" i="10" s="1"/>
  <c r="B69" i="6" s="1"/>
  <c r="I40" i="10"/>
  <c r="K40" i="10" s="1"/>
  <c r="B23" i="6" s="1"/>
  <c r="I17" i="10"/>
  <c r="K17" i="10" s="1"/>
  <c r="B2" i="6" s="1"/>
  <c r="I9" i="10"/>
  <c r="K9" i="10" s="1"/>
  <c r="I24" i="10"/>
  <c r="K24" i="10" s="1"/>
  <c r="B43" i="6" s="1"/>
  <c r="I4" i="10"/>
  <c r="K4" i="10" s="1"/>
  <c r="I30" i="10"/>
  <c r="K30" i="10" s="1"/>
  <c r="I20" i="10"/>
  <c r="K20" i="10" s="1"/>
  <c r="B53" i="6" s="1"/>
  <c r="I49" i="10"/>
  <c r="K49" i="10" s="1"/>
  <c r="I46" i="10"/>
  <c r="K46" i="10" s="1"/>
  <c r="B75" i="6" s="1"/>
  <c r="I34" i="10" l="1"/>
  <c r="K34" i="10" s="1"/>
  <c r="B60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8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F9" i="8"/>
  <c r="G9" i="8" s="1"/>
  <c r="I9" i="8" s="1"/>
  <c r="F14" i="8"/>
  <c r="G14" i="8" s="1"/>
  <c r="I14" i="8" s="1"/>
  <c r="F15" i="8"/>
  <c r="G15" i="8" s="1"/>
  <c r="I15" i="8" s="1"/>
  <c r="J28" i="4"/>
  <c r="F32" i="8" l="1"/>
  <c r="G32" i="8" s="1"/>
  <c r="I32" i="8" s="1"/>
  <c r="I31" i="8" s="1"/>
  <c r="K31" i="8" s="1"/>
  <c r="B76" i="6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F6" i="8"/>
  <c r="G6" i="8" s="1"/>
  <c r="I6" i="8" s="1"/>
  <c r="F11" i="8"/>
  <c r="G11" i="8" s="1"/>
  <c r="I11" i="8" s="1"/>
  <c r="F13" i="8"/>
  <c r="G13" i="8" s="1"/>
  <c r="I13" i="8" s="1"/>
  <c r="I12" i="8" s="1"/>
  <c r="K12" i="8" s="1"/>
  <c r="B74" i="6" s="1"/>
  <c r="F18" i="8"/>
  <c r="G18" i="8" s="1"/>
  <c r="I18" i="8" s="1"/>
  <c r="F17" i="8"/>
  <c r="G17" i="8" s="1"/>
  <c r="I17" i="8" s="1"/>
  <c r="I16" i="8" s="1"/>
  <c r="K16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28" i="6" s="1"/>
  <c r="I8" i="8"/>
  <c r="K8" i="8" s="1"/>
  <c r="I22" i="8"/>
  <c r="K22" i="8" s="1"/>
  <c r="J27" i="5"/>
  <c r="I28" i="8" l="1"/>
  <c r="K28" i="8" s="1"/>
  <c r="B6" i="6" s="1"/>
  <c r="I4" i="8"/>
  <c r="K4" i="8" s="1"/>
  <c r="I19" i="8"/>
  <c r="K19" i="8" s="1"/>
  <c r="B66" i="6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E35" i="7" s="1"/>
  <c r="D14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F10" i="7" l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51" i="6" s="1"/>
  <c r="I13" i="7"/>
  <c r="K13" i="7" s="1"/>
  <c r="B9" i="6" s="1"/>
  <c r="I19" i="7"/>
  <c r="K19" i="7" s="1"/>
  <c r="I30" i="7"/>
  <c r="K30" i="7" s="1"/>
  <c r="B79" i="6" s="1"/>
  <c r="I9" i="7"/>
  <c r="K9" i="7" s="1"/>
  <c r="B4" i="6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65" i="6" s="1"/>
  <c r="F11" i="5"/>
  <c r="G11" i="5" s="1"/>
  <c r="I11" i="5" s="1"/>
  <c r="I36" i="5"/>
  <c r="K36" i="5" s="1"/>
  <c r="I4" i="5" l="1"/>
  <c r="K4" i="5" s="1"/>
  <c r="B72" i="6" s="1"/>
  <c r="I24" i="5"/>
  <c r="K24" i="5" s="1"/>
  <c r="I9" i="5"/>
  <c r="K9" i="5" s="1"/>
  <c r="I21" i="5"/>
  <c r="K21" i="5" s="1"/>
  <c r="B46" i="6" s="1"/>
  <c r="I27" i="5"/>
  <c r="K27" i="5" s="1"/>
  <c r="I33" i="5"/>
  <c r="K33" i="5" s="1"/>
  <c r="B15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G61" i="4"/>
  <c r="I61" i="4" s="1"/>
  <c r="I55" i="4" s="1"/>
  <c r="K55" i="4" s="1"/>
  <c r="B13" i="6" s="1"/>
  <c r="I20" i="4"/>
  <c r="I19" i="4" s="1"/>
  <c r="K19" i="4" s="1"/>
  <c r="I70" i="4"/>
  <c r="K70" i="4" s="1"/>
  <c r="B42" i="6" s="1"/>
  <c r="I66" i="4"/>
  <c r="K66" i="4" s="1"/>
  <c r="B61" i="6" s="1"/>
  <c r="I50" i="4"/>
  <c r="K50" i="4" s="1"/>
  <c r="I37" i="4"/>
  <c r="K37" i="4" s="1"/>
  <c r="I53" i="4"/>
  <c r="K53" i="4" s="1"/>
  <c r="I39" i="4"/>
  <c r="I45" i="4"/>
  <c r="I14" i="4"/>
  <c r="K14" i="4" s="1"/>
  <c r="I7" i="4"/>
  <c r="K7" i="4" s="1"/>
  <c r="B38" i="6" s="1"/>
  <c r="I21" i="4"/>
  <c r="K21" i="4" s="1"/>
  <c r="I28" i="4"/>
  <c r="K28" i="4" s="1"/>
  <c r="B20" i="6" s="1"/>
  <c r="I24" i="4"/>
  <c r="K24" i="4" s="1"/>
  <c r="B16" i="6" s="1"/>
  <c r="K74" i="4"/>
  <c r="B37" i="6" s="1"/>
  <c r="K39" i="4"/>
  <c r="I33" i="4"/>
  <c r="K33" i="4" s="1"/>
  <c r="K45" i="4" l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11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B68" i="6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80" i="6" s="1"/>
  <c r="I37" i="3"/>
  <c r="K37" i="3" s="1"/>
  <c r="B5" i="6" s="1"/>
  <c r="I21" i="3"/>
  <c r="I26" i="3"/>
  <c r="K26" i="3" s="1"/>
  <c r="B63" i="6" s="1"/>
  <c r="I15" i="3"/>
  <c r="K15" i="3" s="1"/>
  <c r="I42" i="3"/>
  <c r="K42" i="3" s="1"/>
  <c r="B3" i="6" s="1"/>
  <c r="I32" i="3"/>
  <c r="K32" i="3" s="1"/>
  <c r="K6" i="3"/>
  <c r="B36" i="6" s="1"/>
  <c r="F46" i="2"/>
  <c r="G46" i="2" s="1"/>
  <c r="F27" i="2"/>
  <c r="G27" i="2" s="1"/>
  <c r="I27" i="2" s="1"/>
  <c r="I26" i="2" s="1"/>
  <c r="K26" i="2" s="1"/>
  <c r="B30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35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24" i="6" s="1"/>
  <c r="I22" i="2"/>
  <c r="K22" i="2" s="1"/>
  <c r="I5" i="2"/>
  <c r="K5" i="2" s="1"/>
  <c r="B7" i="6" s="1"/>
  <c r="I41" i="2"/>
  <c r="K41" i="2" s="1"/>
  <c r="B14" i="6" s="1"/>
  <c r="I35" i="2"/>
  <c r="K35" i="2" s="1"/>
  <c r="B54" i="6" s="1"/>
  <c r="I28" i="2"/>
  <c r="K28" i="2" s="1"/>
  <c r="I19" i="2"/>
  <c r="K19" i="2" s="1"/>
  <c r="B71" i="6" s="1"/>
  <c r="I15" i="2"/>
  <c r="K15" i="2" s="1"/>
  <c r="B73" i="6" s="1"/>
  <c r="I38" i="2"/>
  <c r="K38" i="2" s="1"/>
  <c r="B47" i="6" s="1"/>
  <c r="I10" i="2"/>
  <c r="K10" i="2" s="1"/>
  <c r="B33" i="6" s="1"/>
  <c r="I32" i="2"/>
  <c r="K32" i="2" s="1"/>
  <c r="B40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sharedStrings.xml><?xml version="1.0" encoding="utf-8"?>
<sst xmlns="http://schemas.openxmlformats.org/spreadsheetml/2006/main" count="815" uniqueCount="478">
  <si>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</si>
  <si>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</si>
  <si>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</si>
  <si>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</si>
  <si>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</si>
  <si>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</si>
  <si>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</si>
  <si>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</si>
  <si>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</si>
  <si>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</si>
  <si>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</si>
  <si>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</si>
  <si>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</si>
  <si>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</si>
  <si>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</si>
  <si>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</si>
  <si>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</si>
  <si>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</si>
  <si>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</si>
  <si>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</si>
  <si>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</si>
  <si>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</si>
  <si>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</si>
  <si>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</si>
  <si>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</si>
  <si>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</si>
  <si>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</si>
  <si>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</si>
  <si>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</si>
  <si>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</si>
  <si>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</si>
  <si>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</si>
  <si>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</si>
  <si>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</si>
  <si>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</si>
  <si>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</si>
  <si>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</si>
  <si>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</si>
  <si>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</si>
  <si>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</si>
  <si>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</si>
  <si>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</si>
  <si>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</si>
  <si>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</si>
  <si>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</si>
  <si>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</si>
  <si>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</si>
  <si>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</si>
  <si>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</si>
  <si>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</si>
  <si>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</si>
  <si>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</si>
  <si>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</si>
  <si>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</si>
  <si>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</si>
  <si>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</si>
  <si>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</si>
  <si>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</si>
  <si>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</si>
  <si>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</si>
  <si>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</si>
  <si>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</si>
  <si>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</si>
  <si>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</si>
  <si>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</si>
  <si>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</si>
  <si>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</si>
  <si>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</si>
  <si>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</si>
  <si>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</si>
  <si>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</si>
  <si>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</si>
  <si>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</si>
  <si>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</si>
  <si>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</si>
  <si>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</si>
  <si>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</si>
  <si>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</si>
  <si>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</si>
  <si>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</si>
  <si>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</si>
  <si>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</si>
  <si>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</si>
  <si>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</si>
  <si>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</si>
  <si>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</si>
  <si>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</si>
  <si>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</si>
  <si>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</si>
  <si>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</si>
  <si>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</si>
  <si>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</si>
  <si>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</si>
  <si>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</si>
  <si>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</si>
  <si>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</si>
  <si>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</si>
  <si>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</si>
  <si>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</si>
  <si>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</si>
  <si>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</si>
  <si>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</si>
  <si>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</si>
  <si>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</si>
  <si>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</si>
  <si>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</si>
  <si>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</si>
  <si>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</si>
  <si>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</si>
  <si>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</si>
  <si>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</si>
  <si>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</si>
  <si>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</si>
  <si>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</si>
  <si>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</si>
  <si>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</si>
  <si>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</si>
  <si>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</si>
  <si>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</si>
  <si>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</si>
  <si>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</si>
  <si>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</si>
  <si>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</si>
  <si>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</si>
  <si>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</si>
  <si>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</si>
  <si>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</si>
  <si>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</si>
  <si>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</si>
  <si>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</si>
  <si>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</si>
  <si>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</si>
  <si>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</si>
  <si>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</si>
  <si>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</si>
  <si>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</si>
  <si>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</si>
  <si>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</si>
  <si>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</si>
  <si>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</si>
  <si>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</si>
  <si>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</si>
  <si>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</si>
  <si>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</si>
  <si>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</si>
  <si>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</si>
  <si>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</si>
  <si>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</si>
  <si>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</si>
  <si>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</si>
  <si>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</si>
  <si>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</si>
  <si>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</si>
  <si>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</si>
  <si>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</si>
  <si>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</si>
  <si>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</si>
  <si>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</si>
  <si>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</si>
  <si>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</si>
  <si>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</si>
  <si>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</si>
  <si>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</si>
  <si>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</si>
  <si>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</si>
  <si>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</si>
  <si>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</si>
  <si>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</si>
  <si>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</si>
  <si>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</si>
  <si>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</si>
  <si>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</si>
  <si>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</si>
  <si>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</si>
  <si>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</si>
  <si>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</si>
  <si>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</si>
  <si>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</si>
  <si>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</si>
  <si>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</si>
  <si>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</si>
  <si>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</si>
  <si>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</si>
  <si>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</si>
  <si>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</si>
  <si>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</si>
  <si>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</si>
  <si>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</si>
  <si>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</si>
  <si>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</si>
  <si>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</si>
  <si>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</si>
  <si>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</si>
  <si>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</si>
  <si>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</si>
  <si>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</si>
  <si>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</si>
  <si>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</si>
  <si>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</si>
  <si>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</si>
  <si>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</si>
  <si>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</si>
  <si>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</si>
  <si>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</si>
  <si>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</si>
  <si>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</si>
  <si>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</si>
  <si>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</si>
  <si>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</si>
  <si>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</si>
  <si>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</si>
  <si>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</si>
  <si>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</si>
  <si>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</si>
  <si>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</si>
  <si>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</si>
  <si>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</si>
  <si>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</si>
  <si>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</si>
  <si>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</si>
  <si>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</si>
  <si>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</si>
  <si>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</si>
  <si>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</si>
  <si>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</si>
  <si>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</si>
  <si>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</si>
  <si>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</si>
  <si>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</si>
  <si>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</si>
  <si>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</si>
  <si>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</si>
  <si>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</si>
  <si>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</si>
  <si>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</si>
  <si>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</si>
  <si>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</si>
  <si>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</si>
  <si>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</si>
  <si>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</si>
  <si>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</si>
  <si>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</si>
  <si>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</si>
  <si>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</si>
  <si>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</si>
  <si>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</si>
  <si>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</si>
  <si>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</si>
  <si>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</si>
  <si>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</si>
  <si>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</si>
  <si>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</si>
  <si>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</si>
  <si>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</si>
  <si>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</si>
  <si>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</si>
  <si>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</si>
  <si>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</si>
  <si>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</si>
  <si>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</si>
  <si>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</si>
  <si>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</si>
  <si>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</si>
  <si>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</si>
  <si>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</si>
  <si>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</si>
  <si>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</si>
  <si>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</si>
  <si>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</si>
  <si>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</si>
  <si>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</si>
  <si>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</si>
  <si>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</si>
  <si>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</si>
  <si>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</si>
  <si>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</si>
  <si>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</si>
  <si>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</si>
  <si>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</si>
  <si>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</si>
  <si>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</si>
  <si>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</si>
  <si>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</si>
  <si>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</si>
  <si>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</si>
  <si>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</si>
  <si>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2, 3, 4, 8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</si>
  <si>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</si>
  <si>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</si>
  <si>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</si>
  <si>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</si>
  <si>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</si>
  <si>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</si>
  <si>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</si>
  <si>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</si>
  <si>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</si>
  <si>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</si>
  <si>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</si>
  <si>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</si>
  <si>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</si>
  <si>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</si>
  <si>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</si>
  <si>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</si>
  <si>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</si>
  <si>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</si>
  <si>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</si>
  <si>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</si>
  <si>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</si>
  <si>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</si>
  <si>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</si>
  <si>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</si>
  <si>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</si>
  <si>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</si>
  <si>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</si>
  <si>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</si>
  <si>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</si>
  <si>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</si>
  <si>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</si>
  <si>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</si>
  <si>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</si>
  <si>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</si>
  <si>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</si>
  <si>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</si>
  <si>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</si>
  <si>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</si>
  <si>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</si>
  <si>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</si>
  <si>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</si>
  <si>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</si>
  <si>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</si>
  <si>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</si>
  <si>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</si>
  <si>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3, 4, 6, 7,9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</si>
  <si>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</si>
  <si>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</si>
  <si>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</si>
  <si>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</si>
  <si>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</si>
  <si>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</si>
  <si>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</si>
  <si>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</si>
  <si>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</si>
  <si>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</si>
  <si>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</si>
  <si>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</si>
  <si>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</si>
  <si>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</si>
  <si>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</si>
  <si>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</si>
  <si>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</si>
  <si>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</si>
  <si>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</si>
  <si>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</si>
  <si>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</si>
  <si>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</si>
  <si>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</si>
  <si>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</si>
  <si>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</si>
  <si>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</si>
  <si>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</si>
  <si>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</si>
  <si>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</si>
  <si>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</si>
  <si>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</si>
  <si>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</si>
  <si>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</si>
  <si>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</si>
  <si>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</si>
  <si>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</si>
  <si>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</si>
  <si>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</si>
  <si>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</si>
  <si>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</si>
  <si>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</si>
  <si>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</si>
  <si>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</si>
  <si>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</si>
  <si>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</si>
  <si>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</si>
  <si>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</si>
  <si>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</si>
  <si>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</si>
  <si>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</si>
  <si>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</si>
  <si>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</si>
  <si>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</si>
  <si>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</si>
  <si>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6, 10, 11</t>
  </si>
  <si>
    <t>3, 4, 7, 9, 10,11</t>
  </si>
  <si>
    <t>4, 7, 10,11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</si>
  <si>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</si>
  <si>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</si>
  <si>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</si>
  <si>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</si>
  <si>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</si>
  <si>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</si>
  <si>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</si>
  <si>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</si>
  <si>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</si>
  <si>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</si>
  <si>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</si>
  <si>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</si>
  <si>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</si>
  <si>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</si>
  <si>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</si>
  <si>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</si>
  <si>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</si>
  <si>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</si>
  <si>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</si>
  <si>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</si>
  <si>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</si>
  <si>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</si>
  <si>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</si>
  <si>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</si>
  <si>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</si>
  <si>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</si>
  <si>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</si>
  <si>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</si>
  <si>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</si>
  <si>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</si>
  <si>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</si>
  <si>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</si>
  <si>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</si>
  <si>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</si>
  <si>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</si>
  <si>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</si>
  <si>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</si>
  <si>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2, 3, 4, 6, 8, 12</t>
  </si>
  <si>
    <t>4, 5, 6, 7, 8, 11, 12</t>
  </si>
  <si>
    <t>ТАРА</t>
  </si>
  <si>
    <t>фирменная</t>
  </si>
  <si>
    <t>своя</t>
  </si>
  <si>
    <t>39р вернула 05.08.</t>
  </si>
  <si>
    <t xml:space="preserve">LEBEL PROEDIT HAIR TREATMENT BOUNCE FIT plus + Маска - 200 мл </t>
  </si>
  <si>
    <t xml:space="preserve">Яшеничка </t>
  </si>
  <si>
    <t xml:space="preserve">LEBEL PROEDIT HAIR TREATMENT BOUNCE FIT plus + Маска - 100 мл </t>
  </si>
  <si>
    <t xml:space="preserve">Jane26 </t>
  </si>
  <si>
    <t xml:space="preserve">Велька </t>
  </si>
  <si>
    <t xml:space="preserve">LEBEL PROEDIT HAIR TREATMENT BOUNCE FIT plus + Маска - 300 мл </t>
  </si>
  <si>
    <t xml:space="preserve">Tahira09 </t>
  </si>
  <si>
    <t>LEBEL PROEDIT HAIR TREATMENT BOUNCE FIT Маска</t>
  </si>
  <si>
    <t xml:space="preserve">Evgeniya24 </t>
  </si>
  <si>
    <t>LEBEL PROEDIT SHAMPOO BOUNCE FIT Шампунь</t>
  </si>
  <si>
    <t>VTA</t>
  </si>
  <si>
    <t>LEBEL PROEDIT HAIR TREATMENT BOUNCE FIT Маска для волос 400мл</t>
  </si>
  <si>
    <t>LEBEL PROEDIT SHAMPOO BOUNCE FIT Шампунь для мягких волос- 400мл</t>
  </si>
  <si>
    <t>SLG</t>
  </si>
  <si>
    <t xml:space="preserve">LEBEL PROEDIT HAIR TREATMENT BOUNCE FIT plus +  - 300 мл </t>
  </si>
  <si>
    <t xml:space="preserve">LEBEL PROEDIT HAIR TREATMENT BOUNCE FIT plus +  - 400 мл </t>
  </si>
  <si>
    <t>ANOR</t>
  </si>
  <si>
    <t>LEBEL PROEDIT SHAMPOO BOUNCE FIT Шампунь для мягких волос </t>
  </si>
  <si>
    <t>LEBEL PROEDIT HAIR TREATMENT BOUNCE FIT plus + Маска для волос </t>
  </si>
  <si>
    <t>AstiMartini</t>
  </si>
  <si>
    <t>LEBEL IAU essence Forti 100 ml </t>
  </si>
  <si>
    <t>Lebel IAU essence MOIST </t>
  </si>
  <si>
    <t>Lebel proedit curl fit </t>
  </si>
  <si>
    <t>Lebel proedit skin energy relaxing </t>
  </si>
  <si>
    <t>IAU Cell Care 5M</t>
  </si>
  <si>
    <t xml:space="preserve">Lebel IAU serum cleansing </t>
  </si>
  <si>
    <t xml:space="preserve">Lebel Абсолютное Счастье для волос Infinity Aurum Salon Care </t>
  </si>
  <si>
    <t xml:space="preserve">Lebel Cosmetics Набор сывороток C ,P, N, Element Fix - для программы "Абсолютное счастье для волос" (по 150мл) </t>
  </si>
  <si>
    <t xml:space="preserve">Очищающий мусс для волос и кожи головы Float Cleansing 250 мл </t>
  </si>
  <si>
    <t xml:space="preserve"> IAU cleansing Freshment 600 мл в твёрдой упаковке </t>
  </si>
  <si>
    <t xml:space="preserve"> IAU cream Silky Repair </t>
  </si>
  <si>
    <t>Сухое "шелковое" масло Trie TUNER OIL 1 60 мл</t>
  </si>
  <si>
    <t>Цветы Жизни</t>
  </si>
  <si>
    <t>Очищающий мусс для волос и кожи головы Float Cleansing 250 мл</t>
  </si>
  <si>
    <t>nska</t>
  </si>
  <si>
    <t>TRIE MILK 5</t>
  </si>
  <si>
    <t>LebeL Trie tuner FOAM</t>
  </si>
  <si>
    <t>LebeL pro care works shampoo curl fitting shampoo &amp; treatment curl fitting sample size (10ml&amp;10ml) </t>
  </si>
  <si>
    <t>Сухое "шелковое" масло Trie TUNER OIL 1</t>
  </si>
  <si>
    <t>Шампунь для кудрявых волос PROEDIT SHAMPOO CURL FIT (300 мл) </t>
  </si>
  <si>
    <t>Аромакрем тающей текстуры для увлажнения IAU cream Melt Repair (200 мл) - 2 шт </t>
  </si>
  <si>
    <t>12, 13</t>
  </si>
  <si>
    <t>4, 13</t>
  </si>
  <si>
    <t>2, 13</t>
  </si>
  <si>
    <t>5, 8, 9,11, 12, 13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</si>
</sst>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190501"/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2773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46" workbookViewId="0">
      <selection activeCell="H80" sqref="H80"/>
    </sheetView>
  </sheetViews>
  <sheetFormatPr defaultRowHeight="15" x14ac:dyDescent="0.25"/>
  <cols>
    <col min="1" max="1" width="20.7109375" customWidth="1"/>
    <col min="2" max="2" width="17.28515625" style="41" customWidth="1"/>
    <col min="3" max="3" width="16" style="41" customWidth="1"/>
  </cols>
  <sheetData>
    <row r="1" spans="1:4" ht="40.5" customHeight="1" x14ac:dyDescent="0.25">
      <c r="A1" s="69" t="s">
        <v>169</v>
      </c>
      <c r="B1" s="70" t="s">
        <v>170</v>
      </c>
      <c r="C1" s="70" t="s">
        <v>172</v>
      </c>
      <c r="D1" s="71" t="s">
        <v>171</v>
      </c>
    </row>
    <row r="2" spans="1:4" x14ac:dyDescent="0.25">
      <c r="A2" s="130">
        <v>51150</v>
      </c>
      <c r="B2" s="34">
        <f>'9'!K17</f>
        <v>2.2024084363238217E-2</v>
      </c>
      <c r="C2" s="6">
        <v>9</v>
      </c>
    </row>
    <row r="3" spans="1:4" x14ac:dyDescent="0.25">
      <c r="A3" s="131" t="s">
        <v>99</v>
      </c>
      <c r="B3" s="34">
        <f>'3'!K42+'4'!K33+'9'!K38</f>
        <v>-7.9377163718951351</v>
      </c>
      <c r="C3" s="6" t="s">
        <v>333</v>
      </c>
    </row>
    <row r="4" spans="1:4" x14ac:dyDescent="0.25">
      <c r="A4" s="131" t="s">
        <v>216</v>
      </c>
      <c r="B4" s="34">
        <f>'6'!K9+'10'!K11+'11'!K13</f>
        <v>161.37192002816209</v>
      </c>
      <c r="C4" s="6" t="s">
        <v>387</v>
      </c>
    </row>
    <row r="5" spans="1:4" x14ac:dyDescent="0.25">
      <c r="A5" s="131" t="s">
        <v>94</v>
      </c>
      <c r="B5" s="34">
        <f>'3'!K37+'8'!K14</f>
        <v>-3.8651789382897732</v>
      </c>
      <c r="C5" s="6" t="s">
        <v>285</v>
      </c>
    </row>
    <row r="6" spans="1:4" x14ac:dyDescent="0.25">
      <c r="A6" s="131" t="s">
        <v>260</v>
      </c>
      <c r="B6" s="34">
        <f>'7n'!K28</f>
        <v>0.19436787907420694</v>
      </c>
      <c r="C6" s="6">
        <v>7</v>
      </c>
    </row>
    <row r="7" spans="1:4" x14ac:dyDescent="0.25">
      <c r="A7" s="131" t="s">
        <v>18</v>
      </c>
      <c r="B7" s="34">
        <f>'2'!K5</f>
        <v>-18.360362166064988</v>
      </c>
      <c r="C7" s="6">
        <v>2</v>
      </c>
    </row>
    <row r="8" spans="1:4" x14ac:dyDescent="0.25">
      <c r="A8" s="9" t="s">
        <v>449</v>
      </c>
      <c r="B8" s="34">
        <f>'13'!K24</f>
        <v>-584.14624802910862</v>
      </c>
      <c r="C8" s="6">
        <v>13</v>
      </c>
    </row>
    <row r="9" spans="1:4" x14ac:dyDescent="0.25">
      <c r="A9" s="131" t="s">
        <v>220</v>
      </c>
      <c r="B9" s="34">
        <f>'6'!K13</f>
        <v>56.724288616462218</v>
      </c>
      <c r="C9" s="6">
        <v>6</v>
      </c>
    </row>
    <row r="10" spans="1:4" x14ac:dyDescent="0.25">
      <c r="A10" s="9" t="s">
        <v>452</v>
      </c>
      <c r="B10" s="34">
        <f>'13'!K27</f>
        <v>-2049.1383753790178</v>
      </c>
      <c r="C10" s="6">
        <v>13</v>
      </c>
    </row>
    <row r="11" spans="1:4" x14ac:dyDescent="0.25">
      <c r="A11" s="131" t="s">
        <v>77</v>
      </c>
      <c r="B11" s="34">
        <f>'3'!K13</f>
        <v>20.366267281105991</v>
      </c>
      <c r="C11" s="6">
        <v>3</v>
      </c>
    </row>
    <row r="12" spans="1:4" x14ac:dyDescent="0.25">
      <c r="A12" s="67" t="s">
        <v>90</v>
      </c>
      <c r="B12" s="34">
        <f>'2'!K22+'3'!K32+'4'!K37+'6'!K7+'8'!K24+'12'!K19</f>
        <v>27.221408941832408</v>
      </c>
      <c r="C12" s="6" t="s">
        <v>427</v>
      </c>
    </row>
    <row r="13" spans="1:4" x14ac:dyDescent="0.25">
      <c r="A13" s="131" t="s">
        <v>146</v>
      </c>
      <c r="B13" s="34">
        <f>'4'!K55+'5'!K24</f>
        <v>1.4832353088727359</v>
      </c>
      <c r="C13" s="6" t="s">
        <v>209</v>
      </c>
    </row>
    <row r="14" spans="1:4" x14ac:dyDescent="0.25">
      <c r="A14" s="131" t="s">
        <v>54</v>
      </c>
      <c r="B14" s="34">
        <f>'2'!K41+'8'!K4</f>
        <v>0.23645473267038142</v>
      </c>
      <c r="C14" s="6" t="s">
        <v>284</v>
      </c>
    </row>
    <row r="15" spans="1:4" x14ac:dyDescent="0.25">
      <c r="A15" s="131" t="s">
        <v>201</v>
      </c>
      <c r="B15" s="34">
        <f>'5'!K33</f>
        <v>0.14392093673404815</v>
      </c>
      <c r="C15" s="6">
        <v>5</v>
      </c>
    </row>
    <row r="16" spans="1:4" x14ac:dyDescent="0.25">
      <c r="A16" s="131" t="s">
        <v>122</v>
      </c>
      <c r="B16" s="34">
        <f>'4'!K24</f>
        <v>-0.19496901104821518</v>
      </c>
      <c r="C16" s="6">
        <v>4</v>
      </c>
    </row>
    <row r="17" spans="1:3" x14ac:dyDescent="0.25">
      <c r="A17" s="67" t="s">
        <v>143</v>
      </c>
      <c r="B17" s="34">
        <f>'4'!K50+'5'!K36+'6'!K19+'7n'!K33+'8'!K18+'11'!K16+'12'!K33</f>
        <v>6.0736406817109128</v>
      </c>
      <c r="C17" s="6" t="s">
        <v>428</v>
      </c>
    </row>
    <row r="18" spans="1:3" x14ac:dyDescent="0.25">
      <c r="A18" s="9" t="s">
        <v>441</v>
      </c>
      <c r="B18" s="34">
        <f>'12'!K23+'13'!K15</f>
        <v>-1709.5298929555709</v>
      </c>
      <c r="C18" s="6" t="s">
        <v>474</v>
      </c>
    </row>
    <row r="19" spans="1:3" x14ac:dyDescent="0.25">
      <c r="A19" s="131" t="s">
        <v>338</v>
      </c>
      <c r="B19" s="34">
        <f>'10'!K4+'11'!K10</f>
        <v>38.703111418328263</v>
      </c>
      <c r="C19" s="6" t="s">
        <v>386</v>
      </c>
    </row>
    <row r="20" spans="1:3" x14ac:dyDescent="0.25">
      <c r="A20" s="131" t="s">
        <v>126</v>
      </c>
      <c r="B20" s="34">
        <f>'4'!K28+'9'!K9</f>
        <v>0.29688413578378459</v>
      </c>
      <c r="C20" s="6">
        <v>4.9000000000000004</v>
      </c>
    </row>
    <row r="21" spans="1:3" x14ac:dyDescent="0.25">
      <c r="A21" s="67" t="s">
        <v>424</v>
      </c>
      <c r="B21" s="34">
        <f>'12'!K41</f>
        <v>3.058359668023968</v>
      </c>
      <c r="C21" s="6">
        <v>12</v>
      </c>
    </row>
    <row r="22" spans="1:3" x14ac:dyDescent="0.25">
      <c r="A22" s="131" t="s">
        <v>349</v>
      </c>
      <c r="B22" s="34">
        <f>'10'!K21</f>
        <v>1.5995609988053729</v>
      </c>
      <c r="C22" s="6">
        <v>10</v>
      </c>
    </row>
    <row r="23" spans="1:3" x14ac:dyDescent="0.25">
      <c r="A23" s="131" t="s">
        <v>320</v>
      </c>
      <c r="B23" s="34">
        <f>'9'!K40</f>
        <v>0.46922662433371443</v>
      </c>
      <c r="C23" s="6">
        <v>9</v>
      </c>
    </row>
    <row r="24" spans="1:3" x14ac:dyDescent="0.25">
      <c r="A24" s="131" t="s">
        <v>13</v>
      </c>
      <c r="B24" s="34">
        <f>'3'!K21+'4'!K62+'6'!K27+'7n'!K19+'9'!K4</f>
        <v>0.14618756019120838</v>
      </c>
      <c r="C24" s="6" t="s">
        <v>332</v>
      </c>
    </row>
    <row r="25" spans="1:3" x14ac:dyDescent="0.25">
      <c r="A25" s="114" t="s">
        <v>457</v>
      </c>
      <c r="B25" s="34">
        <f>'13'!K36</f>
        <v>0</v>
      </c>
      <c r="C25" s="6">
        <v>13</v>
      </c>
    </row>
    <row r="26" spans="1:3" x14ac:dyDescent="0.25">
      <c r="A26" s="131" t="s">
        <v>351</v>
      </c>
      <c r="B26" s="34">
        <f>'10'!K23</f>
        <v>3.2743230371329446</v>
      </c>
      <c r="C26" s="6">
        <v>10</v>
      </c>
    </row>
    <row r="27" spans="1:3" x14ac:dyDescent="0.25">
      <c r="A27" s="9" t="s">
        <v>436</v>
      </c>
      <c r="B27" s="34">
        <f>'4'!K45+'13'!K8</f>
        <v>-305.92868639666131</v>
      </c>
      <c r="C27" s="6" t="s">
        <v>475</v>
      </c>
    </row>
    <row r="28" spans="1:3" x14ac:dyDescent="0.25">
      <c r="A28" s="131" t="s">
        <v>257</v>
      </c>
      <c r="B28" s="34">
        <f>'7n'!K25</f>
        <v>0.3532323638573871</v>
      </c>
      <c r="C28" s="6">
        <v>7</v>
      </c>
    </row>
    <row r="29" spans="1:3" x14ac:dyDescent="0.25">
      <c r="A29" s="131" t="s">
        <v>327</v>
      </c>
      <c r="B29" s="34">
        <f>'9'!K51</f>
        <v>0.12960947953297364</v>
      </c>
      <c r="C29" s="6">
        <v>9</v>
      </c>
    </row>
    <row r="30" spans="1:3" x14ac:dyDescent="0.25">
      <c r="A30" s="131" t="s">
        <v>41</v>
      </c>
      <c r="B30" s="34">
        <f>'2'!K26+'4'!K12+'10'!K30</f>
        <v>4.7255136871676768</v>
      </c>
      <c r="C30" s="6" t="s">
        <v>364</v>
      </c>
    </row>
    <row r="31" spans="1:3" x14ac:dyDescent="0.25">
      <c r="A31" s="9" t="s">
        <v>42</v>
      </c>
      <c r="B31" s="34">
        <f>'2'!K28+'13'!K4</f>
        <v>-611.35818889553502</v>
      </c>
      <c r="C31" s="6" t="s">
        <v>476</v>
      </c>
    </row>
    <row r="32" spans="1:3" x14ac:dyDescent="0.25">
      <c r="A32" s="67" t="s">
        <v>422</v>
      </c>
      <c r="B32" s="34">
        <f>'12'!K39</f>
        <v>117.27201612050521</v>
      </c>
      <c r="C32" s="6">
        <v>12</v>
      </c>
    </row>
    <row r="33" spans="1:3" x14ac:dyDescent="0.25">
      <c r="A33" s="131" t="s">
        <v>23</v>
      </c>
      <c r="B33" s="34">
        <f>'2'!K10+'4'!K53</f>
        <v>-0.16346633469470362</v>
      </c>
      <c r="C33" s="6" t="s">
        <v>173</v>
      </c>
    </row>
    <row r="34" spans="1:3" x14ac:dyDescent="0.25">
      <c r="A34" s="131" t="s">
        <v>353</v>
      </c>
      <c r="B34" s="34">
        <f>'10'!K25</f>
        <v>6.7334881928322829</v>
      </c>
      <c r="C34" s="6">
        <v>10</v>
      </c>
    </row>
    <row r="35" spans="1:3" x14ac:dyDescent="0.25">
      <c r="A35" s="131" t="s">
        <v>21</v>
      </c>
      <c r="B35" s="34">
        <f>'2'!K8</f>
        <v>-0.39916534296037298</v>
      </c>
      <c r="C35" s="6">
        <v>2</v>
      </c>
    </row>
    <row r="36" spans="1:3" x14ac:dyDescent="0.25">
      <c r="A36" s="131" t="s">
        <v>70</v>
      </c>
      <c r="B36" s="34">
        <f>'3'!K6+'4'!K39+'5'!K9</f>
        <v>1.4198148523973941E-3</v>
      </c>
      <c r="C36" s="6" t="s">
        <v>208</v>
      </c>
    </row>
    <row r="37" spans="1:3" x14ac:dyDescent="0.25">
      <c r="A37" s="131" t="s">
        <v>161</v>
      </c>
      <c r="B37" s="34">
        <f>'4'!K74+'7n'!K22+'10'!K33+'11'!K27</f>
        <v>0.40293986497340484</v>
      </c>
      <c r="C37" s="6" t="s">
        <v>389</v>
      </c>
    </row>
    <row r="38" spans="1:3" x14ac:dyDescent="0.25">
      <c r="A38" s="131" t="s">
        <v>114</v>
      </c>
      <c r="B38" s="34">
        <f>'4'!K7+'5'!K31+'6'!K17</f>
        <v>9.4405335253607063</v>
      </c>
      <c r="C38" s="6" t="s">
        <v>234</v>
      </c>
    </row>
    <row r="39" spans="1:3" x14ac:dyDescent="0.25">
      <c r="A39" s="9" t="s">
        <v>419</v>
      </c>
      <c r="B39" s="34">
        <f>'12'!K35+'13'!K38</f>
        <v>-21005.990036249019</v>
      </c>
      <c r="C39" s="6" t="s">
        <v>474</v>
      </c>
    </row>
    <row r="40" spans="1:3" x14ac:dyDescent="0.25">
      <c r="A40" s="131" t="s">
        <v>46</v>
      </c>
      <c r="B40" s="34">
        <f>'2'!K32</f>
        <v>2.9856063537904447</v>
      </c>
      <c r="C40" s="6">
        <v>2</v>
      </c>
    </row>
    <row r="41" spans="1:3" x14ac:dyDescent="0.25">
      <c r="A41" s="9" t="s">
        <v>467</v>
      </c>
      <c r="B41" s="34">
        <f>'13'!K47</f>
        <v>-2077.9776137052763</v>
      </c>
      <c r="C41" s="6">
        <v>13</v>
      </c>
    </row>
    <row r="42" spans="1:3" x14ac:dyDescent="0.25">
      <c r="A42" s="131" t="s">
        <v>157</v>
      </c>
      <c r="B42" s="34">
        <f>'4'!K70</f>
        <v>-44.924969011048233</v>
      </c>
      <c r="C42" s="6">
        <v>4</v>
      </c>
    </row>
    <row r="43" spans="1:3" x14ac:dyDescent="0.25">
      <c r="A43" s="131" t="s">
        <v>308</v>
      </c>
      <c r="B43" s="34">
        <f>'9'!K24</f>
        <v>-0.4461356162823904</v>
      </c>
      <c r="C43" s="6">
        <v>9</v>
      </c>
    </row>
    <row r="44" spans="1:3" x14ac:dyDescent="0.25">
      <c r="A44" s="67" t="s">
        <v>403</v>
      </c>
      <c r="B44" s="34">
        <f>'12'!K14</f>
        <v>0.49839650907597388</v>
      </c>
      <c r="C44" s="6">
        <v>12</v>
      </c>
    </row>
    <row r="45" spans="1:3" x14ac:dyDescent="0.25">
      <c r="A45" s="131" t="s">
        <v>324</v>
      </c>
      <c r="B45" s="34">
        <f>'9'!K44</f>
        <v>-0.31687810409346184</v>
      </c>
      <c r="C45" s="6">
        <v>9</v>
      </c>
    </row>
    <row r="46" spans="1:3" x14ac:dyDescent="0.25">
      <c r="A46" s="131" t="s">
        <v>192</v>
      </c>
      <c r="B46" s="34">
        <f>'5'!K21+'10'!K15</f>
        <v>200.86276228898441</v>
      </c>
      <c r="C46" s="6" t="s">
        <v>363</v>
      </c>
    </row>
    <row r="47" spans="1:3" x14ac:dyDescent="0.25">
      <c r="A47" s="131" t="s">
        <v>51</v>
      </c>
      <c r="B47" s="34">
        <f>'4'!K19+'2'!K38</f>
        <v>-25.262903624603268</v>
      </c>
      <c r="C47" s="6" t="s">
        <v>173</v>
      </c>
    </row>
    <row r="48" spans="1:3" x14ac:dyDescent="0.25">
      <c r="A48" s="9" t="s">
        <v>196</v>
      </c>
      <c r="B48" s="34">
        <f>'5'!K27+'8'!K9+'9'!K30+'11'!K19+'12'!K4+'13'!K31</f>
        <v>-3533.5698230977982</v>
      </c>
      <c r="C48" s="6" t="s">
        <v>477</v>
      </c>
    </row>
    <row r="49" spans="1:5" x14ac:dyDescent="0.25">
      <c r="A49" s="9" t="s">
        <v>446</v>
      </c>
      <c r="B49" s="34">
        <f>'13'!K21</f>
        <v>-2139.3758681018803</v>
      </c>
      <c r="C49" s="6">
        <v>13</v>
      </c>
    </row>
    <row r="50" spans="1:5" x14ac:dyDescent="0.25">
      <c r="A50" s="67" t="s">
        <v>421</v>
      </c>
      <c r="B50" s="34">
        <f>'12'!K37</f>
        <v>19.183126273724156</v>
      </c>
      <c r="C50" s="6">
        <v>12</v>
      </c>
    </row>
    <row r="51" spans="1:5" x14ac:dyDescent="0.25">
      <c r="A51" s="131" t="s">
        <v>213</v>
      </c>
      <c r="B51" s="34">
        <f>'6'!K4+'11'!K22</f>
        <v>39.97462349811417</v>
      </c>
      <c r="C51" s="6">
        <v>6.11</v>
      </c>
    </row>
    <row r="52" spans="1:5" x14ac:dyDescent="0.25">
      <c r="A52" s="9" t="s">
        <v>439</v>
      </c>
      <c r="B52" s="34">
        <f>'13'!K13</f>
        <v>-862.24387204366292</v>
      </c>
      <c r="C52" s="6">
        <v>13</v>
      </c>
    </row>
    <row r="53" spans="1:5" x14ac:dyDescent="0.25">
      <c r="A53" s="131" t="s">
        <v>304</v>
      </c>
      <c r="B53" s="34">
        <f>'9'!K20</f>
        <v>-3.4623199909219693E-2</v>
      </c>
      <c r="C53" s="6">
        <v>9</v>
      </c>
    </row>
    <row r="54" spans="1:5" x14ac:dyDescent="0.25">
      <c r="A54" s="131" t="s">
        <v>12</v>
      </c>
      <c r="B54" s="34">
        <f>'3'!K15+'4'!K14+'2'!K35+'8'!K21</f>
        <v>-3.5721767072118382E-2</v>
      </c>
      <c r="C54" s="6" t="s">
        <v>286</v>
      </c>
      <c r="D54" s="101"/>
      <c r="E54" s="101"/>
    </row>
    <row r="55" spans="1:5" x14ac:dyDescent="0.25">
      <c r="A55" s="99" t="s">
        <v>468</v>
      </c>
      <c r="B55" s="34">
        <f>'13'!K48</f>
        <v>0</v>
      </c>
      <c r="C55" s="6">
        <v>13</v>
      </c>
    </row>
    <row r="56" spans="1:5" x14ac:dyDescent="0.25">
      <c r="A56" s="131" t="s">
        <v>415</v>
      </c>
      <c r="B56" s="34">
        <f>'12'!K27</f>
        <v>-0.20104493974758952</v>
      </c>
      <c r="C56" s="6">
        <v>12</v>
      </c>
      <c r="D56" s="101"/>
      <c r="E56" s="101"/>
    </row>
    <row r="57" spans="1:5" x14ac:dyDescent="0.25">
      <c r="A57" s="9" t="s">
        <v>443</v>
      </c>
      <c r="B57" s="34">
        <f>'13'!K18</f>
        <v>-2263.7429921164344</v>
      </c>
      <c r="C57" s="6">
        <v>13</v>
      </c>
    </row>
    <row r="58" spans="1:5" x14ac:dyDescent="0.25">
      <c r="A58" s="131" t="s">
        <v>347</v>
      </c>
      <c r="B58" s="34">
        <f>'10'!K19</f>
        <v>2.1991219976107459</v>
      </c>
      <c r="C58" s="6">
        <v>10</v>
      </c>
      <c r="D58" s="101"/>
      <c r="E58" s="101"/>
    </row>
    <row r="59" spans="1:5" x14ac:dyDescent="0.25">
      <c r="A59" s="9" t="s">
        <v>397</v>
      </c>
      <c r="B59" s="34">
        <f>'12'!K8+'13'!K51</f>
        <v>-4634.1962824088369</v>
      </c>
      <c r="C59" s="6" t="s">
        <v>474</v>
      </c>
      <c r="D59" s="101"/>
      <c r="E59" s="101"/>
    </row>
    <row r="60" spans="1:5" x14ac:dyDescent="0.25">
      <c r="A60" s="131" t="s">
        <v>316</v>
      </c>
      <c r="B60" s="34">
        <f>'9'!K34</f>
        <v>-0.33867921533055778</v>
      </c>
      <c r="C60" s="6">
        <v>9</v>
      </c>
      <c r="D60" s="101"/>
      <c r="E60" s="101"/>
    </row>
    <row r="61" spans="1:5" x14ac:dyDescent="0.25">
      <c r="A61" s="131" t="s">
        <v>153</v>
      </c>
      <c r="B61" s="34">
        <f>'4'!K66</f>
        <v>-0.31894233360253565</v>
      </c>
      <c r="C61" s="6">
        <v>4</v>
      </c>
    </row>
    <row r="62" spans="1:5" x14ac:dyDescent="0.25">
      <c r="A62" s="9" t="s">
        <v>437</v>
      </c>
      <c r="B62" s="34">
        <f>'13'!K10</f>
        <v>-1727.0708996361434</v>
      </c>
      <c r="C62" s="6">
        <v>13</v>
      </c>
    </row>
    <row r="63" spans="1:5" x14ac:dyDescent="0.25">
      <c r="A63" s="131" t="s">
        <v>85</v>
      </c>
      <c r="B63" s="34">
        <f>'3'!K26+'4'!K64+'6'!K25+'7n'!K16</f>
        <v>-0.39478098394704375</v>
      </c>
      <c r="C63" s="6" t="s">
        <v>266</v>
      </c>
    </row>
    <row r="64" spans="1:5" x14ac:dyDescent="0.25">
      <c r="A64" s="131" t="s">
        <v>366</v>
      </c>
      <c r="B64" s="34">
        <f>'11'!K4</f>
        <v>0.20821044310650905</v>
      </c>
      <c r="C64" s="6">
        <v>11</v>
      </c>
    </row>
    <row r="65" spans="1:3" x14ac:dyDescent="0.25">
      <c r="A65" s="131" t="s">
        <v>180</v>
      </c>
      <c r="B65" s="34">
        <f>'5'!K7</f>
        <v>-0.47683953163289061</v>
      </c>
      <c r="C65" s="6">
        <v>5</v>
      </c>
    </row>
    <row r="66" spans="1:3" x14ac:dyDescent="0.25">
      <c r="A66" s="131" t="s">
        <v>239</v>
      </c>
      <c r="B66" s="34">
        <f>'7n'!K4+'8'!K26</f>
        <v>0.23651123391709916</v>
      </c>
      <c r="C66" s="6" t="s">
        <v>287</v>
      </c>
    </row>
    <row r="67" spans="1:3" x14ac:dyDescent="0.25">
      <c r="A67" s="131" t="s">
        <v>293</v>
      </c>
      <c r="B67" s="34">
        <f>'9'!K7</f>
        <v>-0.17658169860533235</v>
      </c>
      <c r="C67" s="6">
        <v>9</v>
      </c>
    </row>
    <row r="68" spans="1:3" x14ac:dyDescent="0.25">
      <c r="A68" s="131" t="s">
        <v>68</v>
      </c>
      <c r="B68" s="34">
        <f>'3'!K4+'4'!K21+'7n'!K8+'9'!K55+'10'!K27+'11'!K25</f>
        <v>6.6792845085452655</v>
      </c>
      <c r="C68" s="6" t="s">
        <v>388</v>
      </c>
    </row>
    <row r="69" spans="1:3" x14ac:dyDescent="0.25">
      <c r="A69" s="131" t="s">
        <v>299</v>
      </c>
      <c r="B69" s="34">
        <f>'9'!K14</f>
        <v>0.44137680009089308</v>
      </c>
      <c r="C69" s="6">
        <v>9</v>
      </c>
    </row>
    <row r="70" spans="1:3" x14ac:dyDescent="0.25">
      <c r="A70" s="9" t="s">
        <v>416</v>
      </c>
      <c r="B70" s="34">
        <f>'12'!K30+'13'!K35</f>
        <v>-2706.2403500514947</v>
      </c>
      <c r="C70" s="6" t="s">
        <v>474</v>
      </c>
    </row>
    <row r="71" spans="1:3" x14ac:dyDescent="0.25">
      <c r="A71" s="3" t="s">
        <v>35</v>
      </c>
      <c r="B71" s="34">
        <f>'2'!K19</f>
        <v>9.6842599277806585E-2</v>
      </c>
      <c r="C71" s="6">
        <v>2</v>
      </c>
    </row>
    <row r="72" spans="1:3" x14ac:dyDescent="0.25">
      <c r="A72" s="3" t="s">
        <v>177</v>
      </c>
      <c r="B72" s="34">
        <f>'5'!K4</f>
        <v>8.6885068531046272E-2</v>
      </c>
      <c r="C72" s="6">
        <v>5</v>
      </c>
    </row>
    <row r="73" spans="1:3" x14ac:dyDescent="0.25">
      <c r="A73" s="3" t="s">
        <v>31</v>
      </c>
      <c r="B73" s="34">
        <f>'2'!K15</f>
        <v>-0.41264548736489814</v>
      </c>
      <c r="C73" s="6">
        <v>2</v>
      </c>
    </row>
    <row r="74" spans="1:3" x14ac:dyDescent="0.25">
      <c r="A74" s="3" t="s">
        <v>247</v>
      </c>
      <c r="B74" s="34">
        <f>'7n'!K12</f>
        <v>0.43503569741551473</v>
      </c>
      <c r="C74" s="6">
        <v>7</v>
      </c>
    </row>
    <row r="75" spans="1:3" x14ac:dyDescent="0.25">
      <c r="A75" s="3" t="s">
        <v>325</v>
      </c>
      <c r="B75" s="34">
        <f>'9'!K46+'11'!K29</f>
        <v>-6.5505393411513069E-2</v>
      </c>
      <c r="C75" s="6">
        <v>9.11</v>
      </c>
    </row>
    <row r="76" spans="1:3" x14ac:dyDescent="0.25">
      <c r="A76" s="3" t="s">
        <v>262</v>
      </c>
      <c r="B76" s="34">
        <f>'7n'!K31</f>
        <v>0.39930327282547751</v>
      </c>
      <c r="C76" s="6">
        <v>7</v>
      </c>
    </row>
    <row r="77" spans="1:3" x14ac:dyDescent="0.25">
      <c r="A77" s="9" t="s">
        <v>465</v>
      </c>
      <c r="B77" s="34">
        <f>'13'!K45</f>
        <v>-922.84219830200141</v>
      </c>
      <c r="C77" s="6">
        <v>13</v>
      </c>
    </row>
    <row r="78" spans="1:3" x14ac:dyDescent="0.25">
      <c r="A78" s="99" t="s">
        <v>472</v>
      </c>
      <c r="B78" s="34">
        <f>'13'!K52</f>
        <v>0</v>
      </c>
      <c r="C78" s="6">
        <v>13</v>
      </c>
    </row>
    <row r="79" spans="1:3" x14ac:dyDescent="0.25">
      <c r="A79" s="3" t="s">
        <v>230</v>
      </c>
      <c r="B79" s="34">
        <f>'6'!K30+'9'!K49</f>
        <v>-7.7019570843958718E-2</v>
      </c>
      <c r="C79" s="6">
        <v>6.9</v>
      </c>
    </row>
    <row r="80" spans="1:3" x14ac:dyDescent="0.25">
      <c r="A80" s="3" t="s">
        <v>81</v>
      </c>
      <c r="B80" s="34">
        <f>'3'!K18</f>
        <v>116.85769585253456</v>
      </c>
      <c r="C80" s="6">
        <v>3</v>
      </c>
    </row>
    <row r="81" spans="1:3" x14ac:dyDescent="0.25">
      <c r="A81" s="3" t="s">
        <v>297</v>
      </c>
      <c r="B81" s="34">
        <f>'9'!K12</f>
        <v>0.48790588502106402</v>
      </c>
      <c r="C81" s="6">
        <v>9</v>
      </c>
    </row>
    <row r="82" spans="1:3" x14ac:dyDescent="0.25">
      <c r="A82" s="9" t="s">
        <v>434</v>
      </c>
      <c r="B82" s="34">
        <f>'13'!K6</f>
        <v>-305.62512401455433</v>
      </c>
      <c r="C82" s="6">
        <v>13</v>
      </c>
    </row>
  </sheetData>
  <sortState ref="A2:E123">
    <sortCondition ref="A2:A123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290</v>
      </c>
      <c r="K1" s="98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5"/>
      <c r="E4" s="9"/>
      <c r="F4" s="10"/>
      <c r="G4" s="10"/>
      <c r="H4" s="73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291</v>
      </c>
      <c r="B5" s="3">
        <v>1</v>
      </c>
      <c r="C5" s="3">
        <v>1167</v>
      </c>
      <c r="D5" s="82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3"/>
      <c r="I5" s="34">
        <f>H5-G5</f>
        <v>-671.53658169860523</v>
      </c>
      <c r="J5" s="39"/>
      <c r="K5" s="40"/>
    </row>
    <row r="6" spans="1:12" ht="30" x14ac:dyDescent="0.25">
      <c r="A6" s="18" t="s">
        <v>292</v>
      </c>
      <c r="B6" s="3">
        <v>1</v>
      </c>
      <c r="C6" s="3">
        <v>1167</v>
      </c>
      <c r="D6" s="81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3"/>
      <c r="I6" s="34">
        <f>H6-G6</f>
        <v>-671.53658169860523</v>
      </c>
      <c r="J6" s="39"/>
      <c r="K6" s="40"/>
    </row>
    <row r="7" spans="1:12" x14ac:dyDescent="0.25">
      <c r="A7" s="9" t="s">
        <v>293</v>
      </c>
      <c r="B7" s="9"/>
      <c r="C7" s="9"/>
      <c r="D7" s="85"/>
      <c r="E7" s="9"/>
      <c r="F7" s="10"/>
      <c r="G7" s="10"/>
      <c r="H7" s="73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2" t="s">
        <v>294</v>
      </c>
      <c r="B8" s="3">
        <v>1</v>
      </c>
      <c r="C8" s="3">
        <v>1147</v>
      </c>
      <c r="D8" s="82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3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5"/>
      <c r="E9" s="9"/>
      <c r="F9" s="10"/>
      <c r="G9" s="10"/>
      <c r="H9" s="73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295</v>
      </c>
      <c r="B10" s="3">
        <v>1</v>
      </c>
      <c r="C10" s="3">
        <v>685</v>
      </c>
      <c r="D10" s="82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3"/>
      <c r="I10" s="34">
        <f>H10-G10</f>
        <v>-470.06058169860529</v>
      </c>
      <c r="J10" s="39"/>
      <c r="K10" s="40"/>
    </row>
    <row r="11" spans="1:12" ht="35.25" x14ac:dyDescent="0.25">
      <c r="A11" s="92" t="s">
        <v>296</v>
      </c>
      <c r="B11" s="3">
        <v>1</v>
      </c>
      <c r="C11" s="3">
        <v>1468</v>
      </c>
      <c r="D11" s="81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3"/>
      <c r="I11" s="34">
        <f>H11-G11</f>
        <v>-852.47375620818684</v>
      </c>
      <c r="J11" s="39"/>
      <c r="K11" s="40"/>
    </row>
    <row r="12" spans="1:12" x14ac:dyDescent="0.25">
      <c r="A12" s="9" t="s">
        <v>297</v>
      </c>
      <c r="B12" s="9"/>
      <c r="C12" s="9"/>
      <c r="D12" s="85"/>
      <c r="E12" s="9"/>
      <c r="F12" s="10"/>
      <c r="G12" s="10"/>
      <c r="H12" s="73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298</v>
      </c>
      <c r="B13" s="3">
        <v>1</v>
      </c>
      <c r="C13" s="3">
        <v>1749</v>
      </c>
      <c r="D13" s="82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3"/>
      <c r="I13" s="34">
        <f>H13-G13</f>
        <v>-1392.5120941149789</v>
      </c>
      <c r="J13" s="39"/>
      <c r="K13" s="40"/>
    </row>
    <row r="14" spans="1:12" x14ac:dyDescent="0.25">
      <c r="A14" s="9" t="s">
        <v>299</v>
      </c>
      <c r="B14" s="9"/>
      <c r="C14" s="9"/>
      <c r="D14" s="85"/>
      <c r="E14" s="9"/>
      <c r="F14" s="10"/>
      <c r="G14" s="10"/>
      <c r="H14" s="73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80"/>
    </row>
    <row r="15" spans="1:12" ht="24" x14ac:dyDescent="0.25">
      <c r="A15" s="92" t="s">
        <v>300</v>
      </c>
      <c r="B15" s="3">
        <v>1</v>
      </c>
      <c r="C15" s="3">
        <v>1725</v>
      </c>
      <c r="D15" s="82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3"/>
      <c r="I15" s="34">
        <f>H15-G15</f>
        <v>-1272.2417450958158</v>
      </c>
      <c r="J15" s="39"/>
      <c r="K15" s="40"/>
    </row>
    <row r="16" spans="1:12" ht="30" x14ac:dyDescent="0.25">
      <c r="A16" s="18" t="s">
        <v>301</v>
      </c>
      <c r="B16" s="3">
        <v>1</v>
      </c>
      <c r="C16" s="3">
        <v>794</v>
      </c>
      <c r="D16" s="81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3"/>
      <c r="I16" s="34">
        <f>H16-G16</f>
        <v>-451.31687810409346</v>
      </c>
      <c r="J16" s="39"/>
      <c r="K16" s="40"/>
    </row>
    <row r="17" spans="1:12" x14ac:dyDescent="0.25">
      <c r="A17" s="90">
        <v>51150</v>
      </c>
      <c r="B17" s="9"/>
      <c r="C17" s="9"/>
      <c r="D17" s="85"/>
      <c r="E17" s="9"/>
      <c r="F17" s="10"/>
      <c r="G17" s="10"/>
      <c r="H17" s="73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336</v>
      </c>
    </row>
    <row r="18" spans="1:12" ht="24" x14ac:dyDescent="0.25">
      <c r="A18" s="92" t="s">
        <v>302</v>
      </c>
      <c r="B18" s="3">
        <v>1</v>
      </c>
      <c r="C18" s="3">
        <v>1146</v>
      </c>
      <c r="D18" s="82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3"/>
      <c r="I18" s="34">
        <f>H18-G18</f>
        <v>-708.69122712325657</v>
      </c>
      <c r="J18" s="39"/>
      <c r="K18" s="40"/>
    </row>
    <row r="19" spans="1:12" ht="30" x14ac:dyDescent="0.25">
      <c r="A19" s="77" t="s">
        <v>303</v>
      </c>
      <c r="B19" s="3">
        <v>1</v>
      </c>
      <c r="C19" s="3">
        <f>2476/1000*300</f>
        <v>742.8</v>
      </c>
      <c r="D19" s="81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3"/>
      <c r="I19" s="34">
        <f>H19-G19</f>
        <v>-554.28674879238008</v>
      </c>
      <c r="J19" s="39"/>
      <c r="K19" s="40"/>
    </row>
    <row r="20" spans="1:12" x14ac:dyDescent="0.25">
      <c r="A20" s="9" t="s">
        <v>304</v>
      </c>
      <c r="B20" s="9"/>
      <c r="C20" s="9"/>
      <c r="D20" s="85"/>
      <c r="E20" s="9"/>
      <c r="F20" s="10"/>
      <c r="G20" s="10"/>
      <c r="H20" s="73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305</v>
      </c>
      <c r="B21" s="3">
        <v>1</v>
      </c>
      <c r="C21" s="3">
        <v>806</v>
      </c>
      <c r="D21" s="82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3"/>
      <c r="I21" s="34">
        <f t="shared" ref="I21:I23" si="10">H21-G21</f>
        <v>-456.33287810409342</v>
      </c>
      <c r="J21" s="39"/>
      <c r="K21" s="40"/>
    </row>
    <row r="22" spans="1:12" x14ac:dyDescent="0.25">
      <c r="A22" s="18" t="s">
        <v>306</v>
      </c>
      <c r="B22" s="3">
        <v>1</v>
      </c>
      <c r="C22" s="3">
        <v>1728</v>
      </c>
      <c r="D22" s="82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3"/>
      <c r="I22" s="34">
        <f t="shared" si="10"/>
        <v>-1053.0190470574894</v>
      </c>
      <c r="J22" s="39"/>
      <c r="K22" s="40"/>
    </row>
    <row r="23" spans="1:12" x14ac:dyDescent="0.25">
      <c r="A23" s="18" t="s">
        <v>307</v>
      </c>
      <c r="B23" s="3">
        <v>1</v>
      </c>
      <c r="C23" s="3">
        <v>967</v>
      </c>
      <c r="D23" s="82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3"/>
      <c r="I23" s="34">
        <f t="shared" si="10"/>
        <v>-624.68269803832629</v>
      </c>
      <c r="J23" s="39"/>
      <c r="K23" s="40"/>
    </row>
    <row r="24" spans="1:12" x14ac:dyDescent="0.25">
      <c r="A24" s="9" t="s">
        <v>308</v>
      </c>
      <c r="B24" s="9"/>
      <c r="C24" s="9"/>
      <c r="D24" s="85"/>
      <c r="E24" s="9"/>
      <c r="F24" s="10"/>
      <c r="G24" s="10"/>
      <c r="H24" s="73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305</v>
      </c>
      <c r="B25" s="3">
        <v>1</v>
      </c>
      <c r="C25" s="3">
        <v>806</v>
      </c>
      <c r="D25" s="82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3"/>
      <c r="I25" s="34">
        <f t="shared" ref="I25:I29" si="12">H25-G25</f>
        <v>-456.33287810409342</v>
      </c>
      <c r="J25" s="39"/>
      <c r="K25" s="40"/>
    </row>
    <row r="26" spans="1:12" x14ac:dyDescent="0.25">
      <c r="A26" s="18" t="s">
        <v>309</v>
      </c>
      <c r="B26" s="3">
        <v>1</v>
      </c>
      <c r="C26" s="3">
        <v>672</v>
      </c>
      <c r="D26" s="82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3"/>
      <c r="I26" s="34">
        <f t="shared" si="12"/>
        <v>-464.62658169860526</v>
      </c>
      <c r="J26" s="39"/>
      <c r="K26" s="40"/>
    </row>
    <row r="27" spans="1:12" x14ac:dyDescent="0.25">
      <c r="A27" s="18" t="s">
        <v>310</v>
      </c>
      <c r="B27" s="3">
        <v>1</v>
      </c>
      <c r="C27" s="3">
        <v>849</v>
      </c>
      <c r="D27" s="82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3"/>
      <c r="I27" s="34">
        <f t="shared" si="12"/>
        <v>-538.61258169860525</v>
      </c>
      <c r="J27" s="39"/>
      <c r="K27" s="40"/>
    </row>
    <row r="28" spans="1:12" x14ac:dyDescent="0.25">
      <c r="A28" s="18" t="s">
        <v>311</v>
      </c>
      <c r="B28" s="3">
        <v>1</v>
      </c>
      <c r="C28" s="3">
        <v>1730</v>
      </c>
      <c r="D28" s="82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3"/>
      <c r="I28" s="34">
        <f t="shared" si="12"/>
        <v>-1053.8550470574894</v>
      </c>
      <c r="J28" s="39"/>
      <c r="K28" s="40"/>
    </row>
    <row r="29" spans="1:12" ht="30" x14ac:dyDescent="0.25">
      <c r="A29" s="18" t="s">
        <v>312</v>
      </c>
      <c r="B29" s="3">
        <v>1</v>
      </c>
      <c r="C29" s="3">
        <v>1728</v>
      </c>
      <c r="D29" s="82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3"/>
      <c r="I29" s="34">
        <f t="shared" si="12"/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5"/>
      <c r="E30" s="9"/>
      <c r="F30" s="10"/>
      <c r="G30" s="10"/>
      <c r="H30" s="73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334</v>
      </c>
    </row>
    <row r="31" spans="1:12" x14ac:dyDescent="0.25">
      <c r="A31" s="18" t="s">
        <v>313</v>
      </c>
      <c r="B31" s="3">
        <v>1</v>
      </c>
      <c r="C31" s="3">
        <v>1344</v>
      </c>
      <c r="D31" s="82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3"/>
      <c r="I31" s="34">
        <f t="shared" ref="I31:I33" si="14">H31-G31</f>
        <v>-653.65729084930263</v>
      </c>
      <c r="J31" s="39"/>
      <c r="K31" s="40"/>
    </row>
    <row r="32" spans="1:12" x14ac:dyDescent="0.25">
      <c r="A32" s="18" t="s">
        <v>314</v>
      </c>
      <c r="B32" s="3">
        <v>1</v>
      </c>
      <c r="C32" s="3">
        <v>1167</v>
      </c>
      <c r="D32" s="82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3"/>
      <c r="I32" s="34">
        <f t="shared" si="14"/>
        <v>-671.53658169860523</v>
      </c>
      <c r="J32" s="39"/>
      <c r="K32" s="40"/>
    </row>
    <row r="33" spans="1:12" x14ac:dyDescent="0.25">
      <c r="A33" s="77" t="s">
        <v>315</v>
      </c>
      <c r="B33" s="3">
        <v>1</v>
      </c>
      <c r="C33" s="3">
        <f>2476/1000*100</f>
        <v>247.6</v>
      </c>
      <c r="D33" s="82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3"/>
      <c r="I33" s="34">
        <f t="shared" si="14"/>
        <v>-184.76224959746</v>
      </c>
      <c r="J33" s="39"/>
      <c r="K33" s="40"/>
    </row>
    <row r="34" spans="1:12" x14ac:dyDescent="0.25">
      <c r="A34" s="9" t="s">
        <v>316</v>
      </c>
      <c r="B34" s="9"/>
      <c r="C34" s="9"/>
      <c r="D34" s="85"/>
      <c r="E34" s="9"/>
      <c r="F34" s="10"/>
      <c r="G34" s="10"/>
      <c r="H34" s="73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2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3"/>
      <c r="I35" s="34">
        <f t="shared" ref="I35:I37" si="16">H35-G35</f>
        <v>-451.31687810409346</v>
      </c>
      <c r="J35" s="39"/>
      <c r="K35" s="40"/>
    </row>
    <row r="36" spans="1:12" x14ac:dyDescent="0.25">
      <c r="A36" s="18" t="s">
        <v>317</v>
      </c>
      <c r="B36" s="3">
        <v>1</v>
      </c>
      <c r="C36" s="3">
        <v>664</v>
      </c>
      <c r="D36" s="82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3"/>
      <c r="I36" s="34">
        <f t="shared" si="16"/>
        <v>-440.08289919492006</v>
      </c>
      <c r="J36" s="39"/>
      <c r="K36" s="40"/>
    </row>
    <row r="37" spans="1:12" x14ac:dyDescent="0.25">
      <c r="A37" s="18" t="s">
        <v>318</v>
      </c>
      <c r="B37" s="3">
        <v>1</v>
      </c>
      <c r="C37" s="3">
        <v>828</v>
      </c>
      <c r="D37" s="82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3"/>
      <c r="I37" s="34">
        <f t="shared" si="16"/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5"/>
      <c r="E38" s="9"/>
      <c r="F38" s="10"/>
      <c r="G38" s="10"/>
      <c r="H38" s="73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319</v>
      </c>
      <c r="B39" s="3">
        <v>1</v>
      </c>
      <c r="C39" s="3">
        <f>2476/1000*250</f>
        <v>619</v>
      </c>
      <c r="D39" s="82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3"/>
      <c r="I39" s="34">
        <f>H39-G39</f>
        <v>-461.90562399365001</v>
      </c>
      <c r="J39" s="39"/>
      <c r="K39" s="40"/>
    </row>
    <row r="40" spans="1:12" x14ac:dyDescent="0.25">
      <c r="A40" s="9" t="s">
        <v>320</v>
      </c>
      <c r="B40" s="9"/>
      <c r="C40" s="9"/>
      <c r="D40" s="85"/>
      <c r="E40" s="9"/>
      <c r="F40" s="10"/>
      <c r="G40" s="10"/>
      <c r="H40" s="73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335</v>
      </c>
    </row>
    <row r="41" spans="1:12" ht="30" x14ac:dyDescent="0.25">
      <c r="A41" s="77" t="s">
        <v>321</v>
      </c>
      <c r="B41" s="3">
        <v>1</v>
      </c>
      <c r="C41" s="3">
        <f>2476/1000*200</f>
        <v>495.2</v>
      </c>
      <c r="D41" s="82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3"/>
      <c r="I41" s="34">
        <f t="shared" ref="I41:I43" si="20">H41-G41</f>
        <v>-369.52449919492</v>
      </c>
      <c r="J41" s="39"/>
      <c r="K41" s="40"/>
    </row>
    <row r="42" spans="1:12" x14ac:dyDescent="0.25">
      <c r="A42" s="18" t="s">
        <v>322</v>
      </c>
      <c r="B42" s="3">
        <v>1</v>
      </c>
      <c r="C42" s="3">
        <v>1146</v>
      </c>
      <c r="D42" s="82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3"/>
      <c r="I42" s="34">
        <f t="shared" si="20"/>
        <v>-708.69122712325657</v>
      </c>
      <c r="J42" s="39"/>
      <c r="K42" s="40"/>
    </row>
    <row r="43" spans="1:12" ht="30" x14ac:dyDescent="0.25">
      <c r="A43" s="18" t="s">
        <v>323</v>
      </c>
      <c r="B43" s="3">
        <v>1</v>
      </c>
      <c r="C43" s="3">
        <v>1700</v>
      </c>
      <c r="D43" s="82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3"/>
      <c r="I43" s="34">
        <f t="shared" si="20"/>
        <v>-1041.3150470574894</v>
      </c>
      <c r="J43" s="39"/>
      <c r="K43" s="40"/>
    </row>
    <row r="44" spans="1:12" x14ac:dyDescent="0.25">
      <c r="A44" s="9" t="s">
        <v>324</v>
      </c>
      <c r="B44" s="9"/>
      <c r="C44" s="9"/>
      <c r="D44" s="85"/>
      <c r="E44" s="9"/>
      <c r="F44" s="10"/>
      <c r="G44" s="10"/>
      <c r="H44" s="73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301</v>
      </c>
      <c r="B45" s="3">
        <v>1</v>
      </c>
      <c r="C45" s="3">
        <v>794</v>
      </c>
      <c r="D45" s="82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3"/>
      <c r="I45" s="34">
        <f>H45-G45</f>
        <v>-451.31687810409346</v>
      </c>
      <c r="J45" s="39"/>
      <c r="K45" s="40"/>
    </row>
    <row r="46" spans="1:12" x14ac:dyDescent="0.25">
      <c r="A46" s="9" t="s">
        <v>325</v>
      </c>
      <c r="B46" s="9"/>
      <c r="C46" s="9"/>
      <c r="D46" s="85"/>
      <c r="E46" s="9"/>
      <c r="F46" s="10"/>
      <c r="G46" s="10"/>
      <c r="H46" s="73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305</v>
      </c>
      <c r="B47" s="3">
        <v>1</v>
      </c>
      <c r="C47" s="3">
        <v>806</v>
      </c>
      <c r="D47" s="82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3"/>
      <c r="I47" s="34">
        <f t="shared" ref="I47:I48" si="24">H47-G47</f>
        <v>-456.33287810409342</v>
      </c>
      <c r="J47" s="39"/>
      <c r="K47" s="40"/>
    </row>
    <row r="48" spans="1:12" x14ac:dyDescent="0.25">
      <c r="A48" s="99" t="s">
        <v>331</v>
      </c>
      <c r="B48" s="3">
        <v>1</v>
      </c>
      <c r="C48" s="3">
        <v>934</v>
      </c>
      <c r="D48" s="82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3"/>
      <c r="I48" s="34">
        <f t="shared" si="24"/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5"/>
      <c r="E49" s="9"/>
      <c r="F49" s="10"/>
      <c r="G49" s="10"/>
      <c r="H49" s="73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326</v>
      </c>
      <c r="B50" s="3">
        <v>1</v>
      </c>
      <c r="C50" s="3">
        <v>1344</v>
      </c>
      <c r="D50" s="82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3"/>
      <c r="I50" s="34">
        <f t="shared" ref="I50" si="25">H50-G50</f>
        <v>-653.65729084930263</v>
      </c>
      <c r="J50" s="39"/>
      <c r="K50" s="40"/>
    </row>
    <row r="51" spans="1:12" x14ac:dyDescent="0.25">
      <c r="A51" s="9" t="s">
        <v>327</v>
      </c>
      <c r="B51" s="9"/>
      <c r="C51" s="9"/>
      <c r="D51" s="85"/>
      <c r="E51" s="9"/>
      <c r="F51" s="10"/>
      <c r="G51" s="10"/>
      <c r="H51" s="73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306</v>
      </c>
      <c r="B52" s="3">
        <v>1</v>
      </c>
      <c r="C52" s="3">
        <v>1728</v>
      </c>
      <c r="D52" s="82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3"/>
      <c r="I52" s="34">
        <f t="shared" ref="I52:I54" si="26">H52-G52</f>
        <v>-1053.0190470574894</v>
      </c>
      <c r="J52" s="39"/>
      <c r="K52" s="40"/>
    </row>
    <row r="53" spans="1:12" ht="30" x14ac:dyDescent="0.25">
      <c r="A53" s="18" t="s">
        <v>328</v>
      </c>
      <c r="B53" s="3">
        <v>1</v>
      </c>
      <c r="C53" s="3">
        <v>835</v>
      </c>
      <c r="D53" s="82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3"/>
      <c r="I53" s="34">
        <f t="shared" si="26"/>
        <v>-477.64140718902377</v>
      </c>
      <c r="J53" s="39"/>
      <c r="K53" s="40"/>
    </row>
    <row r="54" spans="1:12" x14ac:dyDescent="0.25">
      <c r="A54" s="99" t="s">
        <v>331</v>
      </c>
      <c r="B54" s="3">
        <v>1</v>
      </c>
      <c r="C54" s="3">
        <v>934</v>
      </c>
      <c r="D54" s="82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3"/>
      <c r="I54" s="34">
        <f t="shared" si="26"/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5"/>
      <c r="E55" s="9"/>
      <c r="F55" s="10"/>
      <c r="G55" s="10"/>
      <c r="H55" s="73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80" t="s">
        <v>337</v>
      </c>
    </row>
    <row r="56" spans="1:12" ht="30" x14ac:dyDescent="0.25">
      <c r="A56" s="68" t="s">
        <v>329</v>
      </c>
      <c r="B56" s="102">
        <v>1</v>
      </c>
      <c r="C56" s="102"/>
      <c r="D56" s="103">
        <f t="shared" ref="D56:D57" si="29">B56*C56*0.1</f>
        <v>0</v>
      </c>
      <c r="E56" s="102"/>
      <c r="F56" s="104">
        <f>E56/$E$60*$F$60</f>
        <v>0</v>
      </c>
      <c r="G56" s="104">
        <f t="shared" ref="G56:G59" si="30">(B56*C56)*$B$1+D56*$B$1+F56*$B$1</f>
        <v>0</v>
      </c>
      <c r="H56" s="102"/>
      <c r="I56" s="105">
        <f>H56-G56</f>
        <v>0</v>
      </c>
      <c r="J56" s="106"/>
      <c r="K56" s="107"/>
    </row>
    <row r="57" spans="1:12" ht="45" x14ac:dyDescent="0.25">
      <c r="A57" s="18" t="s">
        <v>330</v>
      </c>
      <c r="B57" s="3">
        <v>1</v>
      </c>
      <c r="C57" s="3">
        <v>1146</v>
      </c>
      <c r="D57" s="81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3"/>
      <c r="I57" s="34">
        <f>H57-G57</f>
        <v>-708.69122712325657</v>
      </c>
      <c r="J57" s="39"/>
      <c r="K57" s="40"/>
    </row>
    <row r="58" spans="1:12" x14ac:dyDescent="0.25">
      <c r="A58" s="89" t="s">
        <v>30</v>
      </c>
      <c r="B58" s="87"/>
      <c r="C58" s="87"/>
      <c r="D58" s="85"/>
      <c r="E58" s="85"/>
      <c r="F58" s="10"/>
      <c r="G58" s="10"/>
      <c r="H58" s="73"/>
      <c r="I58" s="42"/>
      <c r="J58" s="38"/>
      <c r="K58" s="38"/>
    </row>
    <row r="59" spans="1:12" x14ac:dyDescent="0.25">
      <c r="A59" s="91"/>
      <c r="B59" s="82"/>
      <c r="C59" s="82"/>
      <c r="D59" s="82">
        <f t="shared" ref="D59" si="31">B59*C59*0.1</f>
        <v>0</v>
      </c>
      <c r="E59" s="82">
        <v>0.30249999999999999</v>
      </c>
      <c r="F59" s="30">
        <f>E59/$E$60*$F$60</f>
        <v>562.53543485655962</v>
      </c>
      <c r="G59" s="30">
        <f t="shared" si="30"/>
        <v>213.76346524549265</v>
      </c>
      <c r="H59" s="73"/>
      <c r="I59" s="28"/>
      <c r="J59" s="28"/>
      <c r="K59" s="28"/>
    </row>
    <row r="60" spans="1:12" x14ac:dyDescent="0.25">
      <c r="A60" s="27"/>
      <c r="B60" s="28"/>
      <c r="C60" s="28"/>
      <c r="D60" s="28"/>
      <c r="E60" s="100">
        <f>SUM(E5:E59)</f>
        <v>11.023750000000001</v>
      </c>
      <c r="F60" s="29">
        <v>20500</v>
      </c>
      <c r="G60" s="28">
        <f>F60/E60</f>
        <v>1859.6212722530897</v>
      </c>
      <c r="H60" s="73"/>
      <c r="I60" s="28"/>
      <c r="J60" s="28"/>
      <c r="K60" s="28"/>
    </row>
    <row r="62" spans="1:12" ht="63.75" customHeight="1" x14ac:dyDescent="0.25">
      <c r="A62" s="121" t="s">
        <v>210</v>
      </c>
      <c r="B62" s="122"/>
      <c r="C62" s="122"/>
      <c r="D62" s="122"/>
      <c r="E62" s="122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290</v>
      </c>
      <c r="K1" s="98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1" x14ac:dyDescent="0.25">
      <c r="A4" s="108" t="s">
        <v>338</v>
      </c>
      <c r="B4" s="9"/>
      <c r="C4" s="9"/>
      <c r="D4" s="85"/>
      <c r="E4" s="9"/>
      <c r="F4" s="10"/>
      <c r="G4" s="10"/>
      <c r="H4" s="73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09" t="s">
        <v>339</v>
      </c>
      <c r="B5" s="3">
        <v>1</v>
      </c>
      <c r="C5" s="3">
        <v>685</v>
      </c>
      <c r="D5" s="82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3"/>
      <c r="I5" s="34">
        <f t="shared" ref="I5:I10" si="1">H5-G5</f>
        <v>-637.3443358023892</v>
      </c>
      <c r="J5" s="39"/>
      <c r="K5" s="40"/>
    </row>
    <row r="6" spans="1:11" x14ac:dyDescent="0.25">
      <c r="A6" s="109" t="s">
        <v>340</v>
      </c>
      <c r="B6" s="3">
        <v>1</v>
      </c>
      <c r="C6" s="3">
        <v>670</v>
      </c>
      <c r="D6" s="82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3"/>
      <c r="I6" s="34">
        <f t="shared" si="1"/>
        <v>-628.53046480238925</v>
      </c>
      <c r="J6" s="39"/>
      <c r="K6" s="40"/>
    </row>
    <row r="7" spans="1:11" x14ac:dyDescent="0.25">
      <c r="A7" s="24" t="s">
        <v>306</v>
      </c>
      <c r="B7" s="3">
        <v>1</v>
      </c>
      <c r="C7" s="3">
        <v>1728</v>
      </c>
      <c r="D7" s="82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3"/>
      <c r="I7" s="34">
        <f t="shared" ref="I7" si="4">H7-G7</f>
        <v>-1438.0775474443005</v>
      </c>
      <c r="J7" s="39"/>
      <c r="K7" s="40"/>
    </row>
    <row r="8" spans="1:11" x14ac:dyDescent="0.25">
      <c r="A8" s="110" t="s">
        <v>37</v>
      </c>
      <c r="B8" s="26">
        <v>1</v>
      </c>
      <c r="C8" s="26">
        <v>935</v>
      </c>
      <c r="D8" s="82">
        <f>B8*C8*0.1</f>
        <v>93.5</v>
      </c>
      <c r="E8" s="93">
        <v>0.16900000000000001</v>
      </c>
      <c r="F8" s="30">
        <f t="shared" si="0"/>
        <v>285.76596281652229</v>
      </c>
      <c r="G8" s="30">
        <f t="shared" si="2"/>
        <v>702.04670642155304</v>
      </c>
      <c r="H8" s="73"/>
      <c r="I8" s="34">
        <f t="shared" si="1"/>
        <v>-702.04670642155304</v>
      </c>
      <c r="J8" s="39"/>
      <c r="K8" s="40"/>
    </row>
    <row r="9" spans="1:11" x14ac:dyDescent="0.25">
      <c r="A9" s="109" t="s">
        <v>242</v>
      </c>
      <c r="B9" s="3">
        <v>1</v>
      </c>
      <c r="C9" s="3">
        <v>1404</v>
      </c>
      <c r="D9" s="82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3"/>
      <c r="I9" s="34">
        <f t="shared" si="1"/>
        <v>-942.40043900119463</v>
      </c>
      <c r="J9" s="39"/>
      <c r="K9" s="40"/>
    </row>
    <row r="10" spans="1:11" x14ac:dyDescent="0.25">
      <c r="A10" s="109" t="s">
        <v>341</v>
      </c>
      <c r="B10" s="111">
        <v>1</v>
      </c>
      <c r="C10" s="3">
        <v>1136</v>
      </c>
      <c r="D10" s="82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3"/>
      <c r="I10" s="34">
        <f t="shared" si="1"/>
        <v>-961.05911390298661</v>
      </c>
      <c r="J10" s="39"/>
      <c r="K10" s="40"/>
    </row>
    <row r="11" spans="1:11" x14ac:dyDescent="0.25">
      <c r="A11" s="108" t="s">
        <v>216</v>
      </c>
      <c r="B11" s="9"/>
      <c r="C11" s="9"/>
      <c r="D11" s="85"/>
      <c r="E11" s="9"/>
      <c r="F11" s="10"/>
      <c r="G11" s="10"/>
      <c r="H11" s="73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09" t="s">
        <v>342</v>
      </c>
      <c r="B12" s="113">
        <v>2</v>
      </c>
      <c r="C12" s="3">
        <v>925</v>
      </c>
      <c r="D12" s="82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3"/>
      <c r="I12" s="34">
        <f t="shared" ref="I12:I14" si="5">H12-G12</f>
        <v>-1362.5344329797258</v>
      </c>
      <c r="J12" s="39"/>
      <c r="K12" s="40"/>
    </row>
    <row r="13" spans="1:11" x14ac:dyDescent="0.25">
      <c r="A13" s="109" t="s">
        <v>343</v>
      </c>
      <c r="B13" s="113">
        <v>2</v>
      </c>
      <c r="C13" s="3">
        <v>925</v>
      </c>
      <c r="D13" s="82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3"/>
      <c r="I13" s="34">
        <f t="shared" si="5"/>
        <v>-1362.5344329797258</v>
      </c>
      <c r="J13" s="39"/>
      <c r="K13" s="40"/>
    </row>
    <row r="14" spans="1:11" x14ac:dyDescent="0.25">
      <c r="A14" s="109" t="s">
        <v>344</v>
      </c>
      <c r="B14" s="109">
        <v>1</v>
      </c>
      <c r="C14" s="3">
        <v>1299</v>
      </c>
      <c r="D14" s="82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3"/>
      <c r="I14" s="34">
        <f t="shared" si="5"/>
        <v>-1711.6906060711872</v>
      </c>
      <c r="J14" s="39"/>
      <c r="K14" s="40"/>
    </row>
    <row r="15" spans="1:11" x14ac:dyDescent="0.25">
      <c r="A15" s="108" t="s">
        <v>192</v>
      </c>
      <c r="B15" s="108"/>
      <c r="C15" s="9"/>
      <c r="D15" s="85"/>
      <c r="E15" s="9"/>
      <c r="F15" s="10"/>
      <c r="G15" s="10"/>
      <c r="H15" s="73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09" t="s">
        <v>345</v>
      </c>
      <c r="B16" s="109">
        <v>1</v>
      </c>
      <c r="C16" s="3">
        <v>2748</v>
      </c>
      <c r="D16" s="82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3"/>
      <c r="I16" s="34">
        <f t="shared" ref="I16:I18" si="7">H16-G16</f>
        <v>-3186.3509927236819</v>
      </c>
      <c r="J16" s="39"/>
      <c r="K16" s="40"/>
    </row>
    <row r="17" spans="1:12" x14ac:dyDescent="0.25">
      <c r="A17" s="109" t="s">
        <v>346</v>
      </c>
      <c r="B17" s="109">
        <v>1</v>
      </c>
      <c r="C17" s="3">
        <v>2344</v>
      </c>
      <c r="D17" s="82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3"/>
      <c r="I17" s="34">
        <f t="shared" si="7"/>
        <v>-2395.2736400857411</v>
      </c>
      <c r="J17" s="39"/>
      <c r="K17" s="40"/>
    </row>
    <row r="18" spans="1:12" x14ac:dyDescent="0.25">
      <c r="A18" s="109" t="s">
        <v>362</v>
      </c>
      <c r="B18" s="109">
        <v>1</v>
      </c>
      <c r="C18" s="3">
        <v>2316</v>
      </c>
      <c r="D18" s="82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3"/>
      <c r="I18" s="34">
        <f t="shared" si="7"/>
        <v>-1929.9073088827124</v>
      </c>
      <c r="J18" s="39"/>
      <c r="K18" s="40"/>
    </row>
    <row r="19" spans="1:12" x14ac:dyDescent="0.25">
      <c r="A19" s="108" t="s">
        <v>347</v>
      </c>
      <c r="B19" s="108"/>
      <c r="C19" s="9"/>
      <c r="D19" s="85"/>
      <c r="E19" s="9"/>
      <c r="F19" s="10"/>
      <c r="G19" s="10"/>
      <c r="H19" s="73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09" t="s">
        <v>348</v>
      </c>
      <c r="B20" s="113">
        <v>2</v>
      </c>
      <c r="C20" s="3">
        <v>1404</v>
      </c>
      <c r="D20" s="82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3"/>
      <c r="I20" s="34">
        <f>H20-G20</f>
        <v>-1884.8008780023893</v>
      </c>
      <c r="J20" s="39"/>
      <c r="K20" s="40"/>
    </row>
    <row r="21" spans="1:12" x14ac:dyDescent="0.25">
      <c r="A21" s="108" t="s">
        <v>349</v>
      </c>
      <c r="B21" s="9"/>
      <c r="C21" s="9"/>
      <c r="D21" s="85"/>
      <c r="E21" s="9"/>
      <c r="F21" s="10"/>
      <c r="G21" s="10"/>
      <c r="H21" s="73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09" t="s">
        <v>350</v>
      </c>
      <c r="B22" s="3">
        <v>1</v>
      </c>
      <c r="C22" s="3">
        <v>1404</v>
      </c>
      <c r="D22" s="82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3"/>
      <c r="I22" s="34">
        <f>H22-G22</f>
        <v>-942.40043900119463</v>
      </c>
      <c r="J22" s="39"/>
      <c r="K22" s="40"/>
    </row>
    <row r="23" spans="1:12" x14ac:dyDescent="0.25">
      <c r="A23" s="108" t="s">
        <v>351</v>
      </c>
      <c r="B23" s="9"/>
      <c r="C23" s="9"/>
      <c r="D23" s="85"/>
      <c r="E23" s="9"/>
      <c r="F23" s="10"/>
      <c r="G23" s="10"/>
      <c r="H23" s="73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2" t="s">
        <v>352</v>
      </c>
      <c r="B24" s="3">
        <v>1</v>
      </c>
      <c r="C24" s="3">
        <v>1232</v>
      </c>
      <c r="D24" s="82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3"/>
      <c r="I24" s="34">
        <f>H24-G24</f>
        <v>-1005.7256769628671</v>
      </c>
      <c r="J24" s="39"/>
      <c r="K24" s="40"/>
    </row>
    <row r="25" spans="1:12" x14ac:dyDescent="0.25">
      <c r="A25" s="108" t="s">
        <v>353</v>
      </c>
      <c r="B25" s="9"/>
      <c r="C25" s="9"/>
      <c r="D25" s="85"/>
      <c r="E25" s="9"/>
      <c r="F25" s="10"/>
      <c r="G25" s="10"/>
      <c r="H25" s="73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2" t="s">
        <v>354</v>
      </c>
      <c r="B26" s="3">
        <v>1</v>
      </c>
      <c r="C26" s="3">
        <v>1601</v>
      </c>
      <c r="D26" s="82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3"/>
      <c r="I26" s="34">
        <f>H26-G26</f>
        <v>-1645.2665118071677</v>
      </c>
      <c r="J26" s="39"/>
      <c r="K26" s="40"/>
    </row>
    <row r="27" spans="1:12" x14ac:dyDescent="0.25">
      <c r="A27" s="108" t="s">
        <v>68</v>
      </c>
      <c r="B27" s="9"/>
      <c r="C27" s="9"/>
      <c r="D27" s="85"/>
      <c r="E27" s="9"/>
      <c r="F27" s="10"/>
      <c r="G27" s="10"/>
      <c r="H27" s="73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09" t="s">
        <v>355</v>
      </c>
      <c r="B28" s="3">
        <v>1</v>
      </c>
      <c r="C28" s="3">
        <v>1146</v>
      </c>
      <c r="D28" s="82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3"/>
      <c r="I28" s="34">
        <f>H28-G28</f>
        <v>-966.93502790298658</v>
      </c>
      <c r="J28" s="39"/>
      <c r="K28" s="40"/>
    </row>
    <row r="29" spans="1:12" x14ac:dyDescent="0.25">
      <c r="A29" s="109" t="s">
        <v>356</v>
      </c>
      <c r="B29" s="3">
        <v>1</v>
      </c>
      <c r="C29" s="3">
        <v>1136</v>
      </c>
      <c r="D29" s="81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3"/>
      <c r="I29" s="34">
        <f>H29-G29</f>
        <v>-1019.7701706035839</v>
      </c>
      <c r="J29" s="39"/>
      <c r="K29" s="40"/>
    </row>
    <row r="30" spans="1:12" x14ac:dyDescent="0.25">
      <c r="A30" s="108" t="s">
        <v>357</v>
      </c>
      <c r="B30" s="9"/>
      <c r="C30" s="9"/>
      <c r="D30" s="85"/>
      <c r="E30" s="9"/>
      <c r="F30" s="10"/>
      <c r="G30" s="10"/>
      <c r="H30" s="73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80"/>
    </row>
    <row r="31" spans="1:12" x14ac:dyDescent="0.25">
      <c r="A31" s="109" t="s">
        <v>339</v>
      </c>
      <c r="B31" s="3">
        <v>1</v>
      </c>
      <c r="C31" s="3">
        <v>685</v>
      </c>
      <c r="D31" s="82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3"/>
      <c r="I31" s="34">
        <f>H31-G31</f>
        <v>-637.3443358023892</v>
      </c>
      <c r="J31" s="39"/>
      <c r="K31" s="40"/>
    </row>
    <row r="32" spans="1:12" x14ac:dyDescent="0.25">
      <c r="A32" s="109" t="s">
        <v>358</v>
      </c>
      <c r="B32" s="3">
        <v>1</v>
      </c>
      <c r="C32" s="3">
        <v>685</v>
      </c>
      <c r="D32" s="81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3"/>
      <c r="I32" s="34">
        <f>H32-G32</f>
        <v>-637.3443358023892</v>
      </c>
      <c r="J32" s="39"/>
      <c r="K32" s="40"/>
    </row>
    <row r="33" spans="1:11" x14ac:dyDescent="0.25">
      <c r="A33" s="108" t="s">
        <v>161</v>
      </c>
      <c r="B33" s="9"/>
      <c r="C33" s="9"/>
      <c r="D33" s="85"/>
      <c r="E33" s="9"/>
      <c r="F33" s="10"/>
      <c r="G33" s="10"/>
      <c r="H33" s="73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359</v>
      </c>
      <c r="B34" s="3">
        <v>1</v>
      </c>
      <c r="C34" s="3">
        <v>551</v>
      </c>
      <c r="D34" s="82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3"/>
      <c r="I34" s="34">
        <f>H34-G34</f>
        <v>-382.4739181005973</v>
      </c>
      <c r="J34" s="39"/>
      <c r="K34" s="40"/>
    </row>
    <row r="35" spans="1:11" x14ac:dyDescent="0.25">
      <c r="A35" s="3" t="s">
        <v>360</v>
      </c>
      <c r="B35" s="3">
        <v>1</v>
      </c>
      <c r="C35" s="3">
        <v>938</v>
      </c>
      <c r="D35" s="81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3"/>
      <c r="I35" s="34">
        <f>H35-G35</f>
        <v>-668.58284660119466</v>
      </c>
      <c r="J35" s="39"/>
      <c r="K35" s="40"/>
    </row>
    <row r="36" spans="1:11" x14ac:dyDescent="0.25">
      <c r="A36" s="89" t="s">
        <v>30</v>
      </c>
      <c r="B36" s="87"/>
      <c r="C36" s="87"/>
      <c r="D36" s="85"/>
      <c r="E36" s="85"/>
      <c r="F36" s="10"/>
      <c r="G36" s="10"/>
      <c r="H36" s="73"/>
      <c r="I36" s="42"/>
      <c r="J36" s="38"/>
      <c r="K36" s="38"/>
    </row>
    <row r="37" spans="1:11" x14ac:dyDescent="0.25">
      <c r="A37" s="91"/>
      <c r="B37" s="82"/>
      <c r="C37" s="82"/>
      <c r="D37" s="82"/>
      <c r="E37" s="82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3"/>
      <c r="I37" s="28"/>
      <c r="J37" s="28"/>
      <c r="K37" s="28"/>
    </row>
    <row r="38" spans="1:11" x14ac:dyDescent="0.25">
      <c r="A38" s="27"/>
      <c r="B38" s="28"/>
      <c r="C38" s="28"/>
      <c r="D38" s="28"/>
      <c r="E38" s="100">
        <f>SUM(E4:E37)</f>
        <v>11.886999999999999</v>
      </c>
      <c r="F38" s="95">
        <v>20100</v>
      </c>
      <c r="G38" s="28">
        <f>F38/E38</f>
        <v>1690.9228569024988</v>
      </c>
      <c r="H38" s="73"/>
      <c r="I38" s="28"/>
      <c r="J38" s="28"/>
      <c r="K38" s="28"/>
    </row>
    <row r="40" spans="1:11" ht="36.75" customHeight="1" x14ac:dyDescent="0.25">
      <c r="A40" s="123" t="s">
        <v>361</v>
      </c>
      <c r="B40" s="124"/>
      <c r="C40" s="124"/>
      <c r="D40" s="124"/>
      <c r="E40" s="124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90" zoomScaleNormal="90" workbookViewId="0">
      <selection activeCell="A35" sqref="A35:XFD35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290</v>
      </c>
      <c r="K1" s="98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366</v>
      </c>
      <c r="B4" s="9"/>
      <c r="C4" s="9"/>
      <c r="D4" s="85"/>
      <c r="E4" s="9"/>
      <c r="F4" s="10"/>
      <c r="G4" s="10"/>
      <c r="H4" s="73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25">
      <c r="A5" s="3" t="s">
        <v>367</v>
      </c>
      <c r="B5" s="3">
        <v>1</v>
      </c>
      <c r="C5" s="3">
        <v>2929</v>
      </c>
      <c r="D5" s="82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3"/>
      <c r="I5" s="34">
        <f t="shared" ref="I5:I9" si="0">H5-G5</f>
        <v>-3581.9222406034296</v>
      </c>
      <c r="J5" s="39"/>
      <c r="K5" s="40"/>
    </row>
    <row r="6" spans="1:11" x14ac:dyDescent="0.25">
      <c r="A6" s="3" t="s">
        <v>368</v>
      </c>
      <c r="B6" s="3">
        <v>1</v>
      </c>
      <c r="C6" s="3">
        <v>1295</v>
      </c>
      <c r="D6" s="82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1362.2888956245824</v>
      </c>
      <c r="H6" s="73"/>
      <c r="I6" s="34">
        <f t="shared" si="0"/>
        <v>-1362.2888956245824</v>
      </c>
      <c r="J6" s="39"/>
      <c r="K6" s="40"/>
    </row>
    <row r="7" spans="1:11" x14ac:dyDescent="0.25">
      <c r="A7" s="3" t="s">
        <v>369</v>
      </c>
      <c r="B7" s="3">
        <v>1</v>
      </c>
      <c r="C7" s="3">
        <v>1311</v>
      </c>
      <c r="D7" s="82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1404.0766077599644</v>
      </c>
      <c r="H7" s="73"/>
      <c r="I7" s="34">
        <f t="shared" si="0"/>
        <v>-1404.0766077599644</v>
      </c>
      <c r="J7" s="39"/>
      <c r="K7" s="40"/>
    </row>
    <row r="8" spans="1:11" x14ac:dyDescent="0.25">
      <c r="A8" s="3" t="s">
        <v>370</v>
      </c>
      <c r="B8" s="3">
        <v>1</v>
      </c>
      <c r="C8" s="3">
        <v>3221</v>
      </c>
      <c r="D8" s="82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3809.8136406034291</v>
      </c>
      <c r="H8" s="73"/>
      <c r="I8" s="34">
        <f t="shared" si="0"/>
        <v>-3809.8136406034291</v>
      </c>
      <c r="J8" s="39"/>
      <c r="K8" s="40"/>
    </row>
    <row r="9" spans="1:11" x14ac:dyDescent="0.25">
      <c r="A9" s="3" t="s">
        <v>371</v>
      </c>
      <c r="B9" s="3">
        <v>1</v>
      </c>
      <c r="C9" s="3">
        <v>2746</v>
      </c>
      <c r="D9" s="82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4216.6904049654868</v>
      </c>
      <c r="H9" s="73"/>
      <c r="I9" s="34">
        <f t="shared" si="0"/>
        <v>-4216.6904049654868</v>
      </c>
      <c r="J9" s="39"/>
      <c r="K9" s="40"/>
    </row>
    <row r="10" spans="1:11" x14ac:dyDescent="0.25">
      <c r="A10" s="9" t="s">
        <v>338</v>
      </c>
      <c r="B10" s="9"/>
      <c r="C10" s="9"/>
      <c r="D10" s="85"/>
      <c r="E10" s="9"/>
      <c r="F10" s="10"/>
      <c r="G10" s="10"/>
      <c r="H10" s="73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25">
      <c r="A11" s="3" t="s">
        <v>372</v>
      </c>
      <c r="B11" s="3">
        <v>1</v>
      </c>
      <c r="C11" s="3">
        <v>2801</v>
      </c>
      <c r="D11" s="82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3"/>
      <c r="I11" s="34">
        <f t="shared" ref="I11:I12" si="2">H11-G11</f>
        <v>-3482.0246406034294</v>
      </c>
      <c r="J11" s="39"/>
      <c r="K11" s="40"/>
    </row>
    <row r="12" spans="1:11" x14ac:dyDescent="0.25">
      <c r="A12" s="3" t="s">
        <v>373</v>
      </c>
      <c r="B12" s="3">
        <v>1</v>
      </c>
      <c r="C12" s="3">
        <v>3221</v>
      </c>
      <c r="D12" s="82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3809.8136406034291</v>
      </c>
      <c r="H12" s="73"/>
      <c r="I12" s="34">
        <f t="shared" si="2"/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5"/>
      <c r="E13" s="9"/>
      <c r="F13" s="10"/>
      <c r="G13" s="10"/>
      <c r="H13" s="73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25">
      <c r="A14" s="3" t="s">
        <v>374</v>
      </c>
      <c r="B14" s="3">
        <v>1</v>
      </c>
      <c r="C14" s="3">
        <v>958</v>
      </c>
      <c r="D14" s="82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3"/>
      <c r="I14" s="34">
        <f t="shared" ref="I14:I15" si="4">H14-G14</f>
        <v>-864.8731485415276</v>
      </c>
      <c r="J14" s="39"/>
      <c r="K14" s="40"/>
    </row>
    <row r="15" spans="1:11" x14ac:dyDescent="0.25">
      <c r="A15" s="3" t="s">
        <v>375</v>
      </c>
      <c r="B15" s="3">
        <v>1</v>
      </c>
      <c r="C15" s="3">
        <v>958</v>
      </c>
      <c r="D15" s="82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864.8731485415276</v>
      </c>
      <c r="H15" s="73"/>
      <c r="I15" s="34">
        <f t="shared" si="4"/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5"/>
      <c r="E16" s="9"/>
      <c r="F16" s="10"/>
      <c r="G16" s="10"/>
      <c r="H16" s="73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25">
      <c r="A17" s="3" t="s">
        <v>376</v>
      </c>
      <c r="B17" s="3">
        <v>1</v>
      </c>
      <c r="C17" s="3">
        <v>2801</v>
      </c>
      <c r="D17" s="82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3"/>
      <c r="I17" s="34">
        <f t="shared" ref="I17:I18" si="6">H17-G17</f>
        <v>-3482.0246406034294</v>
      </c>
      <c r="J17" s="39"/>
      <c r="K17" s="40"/>
    </row>
    <row r="18" spans="1:12" x14ac:dyDescent="0.25">
      <c r="A18" s="3" t="s">
        <v>377</v>
      </c>
      <c r="B18" s="3">
        <v>1</v>
      </c>
      <c r="C18" s="3">
        <v>2929</v>
      </c>
      <c r="D18" s="82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3581.9222406034296</v>
      </c>
      <c r="H18" s="73"/>
      <c r="I18" s="34">
        <f t="shared" si="6"/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5"/>
      <c r="E19" s="9"/>
      <c r="F19" s="10"/>
      <c r="G19" s="10"/>
      <c r="H19" s="73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25">
      <c r="A20" s="99" t="s">
        <v>378</v>
      </c>
      <c r="B20" s="3">
        <v>1</v>
      </c>
      <c r="C20" s="3">
        <v>1130</v>
      </c>
      <c r="D20" s="82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3"/>
      <c r="I20" s="34">
        <f>H20-G20</f>
        <v>-1174.9136213538188</v>
      </c>
      <c r="J20" s="39"/>
      <c r="K20" s="40"/>
    </row>
    <row r="21" spans="1:12" x14ac:dyDescent="0.25">
      <c r="A21" s="99" t="s">
        <v>379</v>
      </c>
      <c r="B21" s="3">
        <v>1</v>
      </c>
      <c r="C21" s="3">
        <v>1332</v>
      </c>
      <c r="D21" s="81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3"/>
      <c r="I21" s="34">
        <f>H21-G21</f>
        <v>-1332.5645213538189</v>
      </c>
      <c r="J21" s="39"/>
      <c r="K21" s="40"/>
    </row>
    <row r="22" spans="1:12" x14ac:dyDescent="0.25">
      <c r="A22" s="9" t="s">
        <v>380</v>
      </c>
      <c r="B22" s="9"/>
      <c r="C22" s="9"/>
      <c r="D22" s="85"/>
      <c r="E22" s="9"/>
      <c r="F22" s="10"/>
      <c r="G22" s="10"/>
      <c r="H22" s="73"/>
      <c r="I22" s="42">
        <f>SUM(I23:I24)</f>
        <v>-2651.6393533845476</v>
      </c>
      <c r="J22" s="38">
        <f>2520+132</f>
        <v>2652</v>
      </c>
      <c r="K22" s="38">
        <f t="shared" ref="K22" si="9">J22+I22</f>
        <v>0.36064661545242416</v>
      </c>
      <c r="L22" s="80"/>
    </row>
    <row r="23" spans="1:12" x14ac:dyDescent="0.25">
      <c r="A23" s="3" t="s">
        <v>381</v>
      </c>
      <c r="B23" s="3">
        <v>1</v>
      </c>
      <c r="C23" s="3">
        <v>1231</v>
      </c>
      <c r="D23" s="82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1326.9903516922736</v>
      </c>
      <c r="H23" s="73"/>
      <c r="I23" s="34">
        <f>H23-G23</f>
        <v>-1326.9903516922736</v>
      </c>
      <c r="J23" s="39"/>
      <c r="K23" s="40"/>
    </row>
    <row r="24" spans="1:12" x14ac:dyDescent="0.25">
      <c r="A24" s="3" t="s">
        <v>382</v>
      </c>
      <c r="B24" s="3">
        <v>1</v>
      </c>
      <c r="C24" s="3">
        <v>1228</v>
      </c>
      <c r="D24" s="81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1324.6490016922737</v>
      </c>
      <c r="H24" s="73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5"/>
      <c r="E25" s="9"/>
      <c r="F25" s="10"/>
      <c r="G25" s="10"/>
      <c r="H25" s="73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25">
      <c r="A26" s="99" t="s">
        <v>383</v>
      </c>
      <c r="B26" s="3">
        <v>1</v>
      </c>
      <c r="C26" s="3">
        <v>1124</v>
      </c>
      <c r="D26" s="82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3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5"/>
      <c r="E27" s="9"/>
      <c r="F27" s="10"/>
      <c r="G27" s="10"/>
      <c r="H27" s="73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25">
      <c r="A28" s="3" t="s">
        <v>384</v>
      </c>
      <c r="B28" s="3">
        <v>2</v>
      </c>
      <c r="C28" s="3">
        <v>893</v>
      </c>
      <c r="D28" s="82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3"/>
      <c r="I28" s="34">
        <f>H28-G28</f>
        <v>-1686.8888213538189</v>
      </c>
      <c r="J28" s="39"/>
      <c r="K28" s="40"/>
    </row>
    <row r="29" spans="1:12" x14ac:dyDescent="0.25">
      <c r="A29" s="9" t="s">
        <v>325</v>
      </c>
      <c r="B29" s="9"/>
      <c r="C29" s="9"/>
      <c r="D29" s="85"/>
      <c r="E29" s="9"/>
      <c r="F29" s="10"/>
      <c r="G29" s="10"/>
      <c r="H29" s="73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390</v>
      </c>
    </row>
    <row r="30" spans="1:12" x14ac:dyDescent="0.25">
      <c r="A30" s="3" t="s">
        <v>385</v>
      </c>
      <c r="B30" s="3">
        <v>1</v>
      </c>
      <c r="C30" s="3">
        <v>953</v>
      </c>
      <c r="D30" s="82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3"/>
      <c r="I30" s="34">
        <f>H30-G30</f>
        <v>-963.5226910153641</v>
      </c>
      <c r="J30" s="39"/>
      <c r="K30" s="40"/>
    </row>
    <row r="31" spans="1:12" x14ac:dyDescent="0.25">
      <c r="A31" s="89" t="s">
        <v>30</v>
      </c>
      <c r="B31" s="87"/>
      <c r="C31" s="87"/>
      <c r="D31" s="85"/>
      <c r="E31" s="85"/>
      <c r="F31" s="10"/>
      <c r="G31" s="10"/>
      <c r="H31" s="73"/>
      <c r="I31" s="42"/>
      <c r="J31" s="38"/>
      <c r="K31" s="38"/>
    </row>
    <row r="32" spans="1:12" x14ac:dyDescent="0.25">
      <c r="A32" s="91"/>
      <c r="B32" s="82"/>
      <c r="C32" s="82"/>
      <c r="D32" s="82"/>
      <c r="E32" s="82">
        <v>1.86</v>
      </c>
      <c r="F32" s="30">
        <f>E32/$E$33*$F$33</f>
        <v>2954.3531507459365</v>
      </c>
      <c r="G32" s="30">
        <f t="shared" ref="G32" si="14">(B32*C32)*$B$1+D32*$B$1+F32*$B$1</f>
        <v>2096.1135604542419</v>
      </c>
      <c r="H32" s="73"/>
      <c r="I32" s="28"/>
      <c r="J32" s="28"/>
      <c r="K32" s="28"/>
    </row>
    <row r="33" spans="1:11" x14ac:dyDescent="0.25">
      <c r="A33" s="27"/>
      <c r="B33" s="28"/>
      <c r="C33" s="28"/>
      <c r="D33" s="28"/>
      <c r="E33" s="100">
        <f>SUM(E4:E32)</f>
        <v>13.472999999999999</v>
      </c>
      <c r="F33" s="95">
        <v>21400</v>
      </c>
      <c r="G33" s="28">
        <f>F33/E33</f>
        <v>1588.3619090031916</v>
      </c>
      <c r="H33" s="73"/>
      <c r="I33" s="28"/>
      <c r="J33" s="28"/>
      <c r="K33" s="28"/>
    </row>
    <row r="34" spans="1:11" x14ac:dyDescent="0.25">
      <c r="G34">
        <f>G33*B1</f>
        <v>1126.9427744377645</v>
      </c>
    </row>
    <row r="35" spans="1:11" ht="51" customHeight="1" x14ac:dyDescent="0.25">
      <c r="A35" s="121" t="s">
        <v>210</v>
      </c>
      <c r="B35" s="122"/>
      <c r="C35" s="122"/>
      <c r="D35" s="122"/>
      <c r="E35" s="122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zoomScale="90" zoomScaleNormal="90" workbookViewId="0">
      <selection activeCell="K5" sqref="K5"/>
    </sheetView>
  </sheetViews>
  <sheetFormatPr defaultRowHeight="15" x14ac:dyDescent="0.25"/>
  <cols>
    <col min="1" max="1" width="49.28515625" customWidth="1"/>
    <col min="2" max="2" width="10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12" customWidth="1"/>
  </cols>
  <sheetData>
    <row r="1" spans="1:12" x14ac:dyDescent="0.25">
      <c r="A1" s="1" t="s">
        <v>5</v>
      </c>
      <c r="B1" s="45">
        <f>0.5439</f>
        <v>0.54390000000000005</v>
      </c>
      <c r="C1" s="1"/>
      <c r="J1" s="1" t="s">
        <v>290</v>
      </c>
      <c r="K1" s="118">
        <v>42915</v>
      </c>
    </row>
    <row r="2" spans="1:12" ht="21" x14ac:dyDescent="0.35">
      <c r="A2" s="8" t="s">
        <v>267</v>
      </c>
    </row>
    <row r="3" spans="1:12" ht="45.75" customHeight="1" x14ac:dyDescent="0.25">
      <c r="A3" s="115" t="s">
        <v>426</v>
      </c>
      <c r="B3" s="115" t="s">
        <v>392</v>
      </c>
      <c r="C3" s="115" t="s">
        <v>60</v>
      </c>
      <c r="D3" s="115" t="s">
        <v>59</v>
      </c>
      <c r="E3" s="115" t="s">
        <v>393</v>
      </c>
      <c r="F3" s="115" t="s">
        <v>61</v>
      </c>
      <c r="G3" s="115" t="s">
        <v>65</v>
      </c>
      <c r="H3" s="116"/>
      <c r="I3" s="115" t="s">
        <v>62</v>
      </c>
      <c r="J3" s="117" t="s">
        <v>17</v>
      </c>
      <c r="K3" s="115" t="s">
        <v>62</v>
      </c>
      <c r="L3" s="119" t="s">
        <v>429</v>
      </c>
    </row>
    <row r="4" spans="1:12" x14ac:dyDescent="0.25">
      <c r="A4" s="9" t="s">
        <v>196</v>
      </c>
      <c r="B4" s="9"/>
      <c r="C4" s="9"/>
      <c r="D4" s="85"/>
      <c r="E4" s="9"/>
      <c r="F4" s="10"/>
      <c r="G4" s="10"/>
      <c r="H4" s="73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25">
      <c r="A5" s="99" t="s">
        <v>394</v>
      </c>
      <c r="B5" s="3">
        <v>1</v>
      </c>
      <c r="C5" s="3">
        <v>1361.2</v>
      </c>
      <c r="D5" s="82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3"/>
      <c r="I5" s="34">
        <f>H5-G5</f>
        <v>-1213.2798764698737</v>
      </c>
      <c r="J5" s="39"/>
      <c r="K5" s="40"/>
      <c r="L5" t="s">
        <v>430</v>
      </c>
    </row>
    <row r="6" spans="1:12" x14ac:dyDescent="0.25">
      <c r="A6" s="3" t="s">
        <v>395</v>
      </c>
      <c r="B6" s="3">
        <v>1</v>
      </c>
      <c r="C6" s="3">
        <v>2291</v>
      </c>
      <c r="D6" s="82">
        <f>B6*C6*0.1</f>
        <v>229.10000000000002</v>
      </c>
      <c r="E6" s="3">
        <v>0.22100000000000003</v>
      </c>
      <c r="F6" s="30">
        <f>E6/$E$48*$F$48</f>
        <v>352.34315687763137</v>
      </c>
      <c r="G6" s="30">
        <f t="shared" ref="G6:G7" si="0">(B6*C6)*$B$1+D6*$B$1+F6*$B$1</f>
        <v>1562.3218330257439</v>
      </c>
      <c r="H6" s="73"/>
      <c r="I6" s="34">
        <f t="shared" ref="I5:I7" si="1">H6-G6</f>
        <v>-1562.3218330257439</v>
      </c>
      <c r="J6" s="39"/>
      <c r="K6" s="40"/>
    </row>
    <row r="7" spans="1:12" x14ac:dyDescent="0.25">
      <c r="A7" s="3" t="s">
        <v>396</v>
      </c>
      <c r="B7" s="3">
        <v>1</v>
      </c>
      <c r="C7" s="3">
        <v>1752</v>
      </c>
      <c r="D7" s="82">
        <f>B7*C7*0.1</f>
        <v>175.20000000000002</v>
      </c>
      <c r="E7" s="3">
        <v>0.13</v>
      </c>
      <c r="F7" s="30">
        <f>E7/$E$48*$F$48</f>
        <v>207.26068051625373</v>
      </c>
      <c r="G7" s="30">
        <f t="shared" si="0"/>
        <v>1160.9331641327904</v>
      </c>
      <c r="H7" s="73"/>
      <c r="I7" s="34">
        <f t="shared" si="1"/>
        <v>-1160.9331641327904</v>
      </c>
      <c r="J7" s="39"/>
      <c r="K7" s="40"/>
    </row>
    <row r="8" spans="1:12" x14ac:dyDescent="0.25">
      <c r="A8" s="9" t="s">
        <v>397</v>
      </c>
      <c r="B8" s="9"/>
      <c r="C8" s="9"/>
      <c r="D8" s="85"/>
      <c r="E8" s="9"/>
      <c r="F8" s="10"/>
      <c r="G8" s="10"/>
      <c r="H8" s="73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25">
      <c r="A9" s="3" t="s">
        <v>398</v>
      </c>
      <c r="B9" s="3">
        <v>1</v>
      </c>
      <c r="C9" s="3">
        <v>1170</v>
      </c>
      <c r="D9" s="82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3"/>
      <c r="I9" s="34">
        <f t="shared" ref="I9:I13" si="2">H9-G9</f>
        <v>-981.82201033197612</v>
      </c>
      <c r="J9" s="39"/>
      <c r="K9" s="40"/>
    </row>
    <row r="10" spans="1:12" x14ac:dyDescent="0.25">
      <c r="A10" s="3" t="s">
        <v>399</v>
      </c>
      <c r="B10" s="3">
        <v>1</v>
      </c>
      <c r="C10" s="3">
        <v>1231</v>
      </c>
      <c r="D10" s="82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 t="shared" ref="G10:G13" si="3">(B10*C10)*$B$1+D10*$B$1+F10*$B$1</f>
        <v>1018.3177003319761</v>
      </c>
      <c r="H10" s="73"/>
      <c r="I10" s="34">
        <f t="shared" si="2"/>
        <v>-1018.3177003319761</v>
      </c>
      <c r="J10" s="39"/>
      <c r="K10" s="40"/>
    </row>
    <row r="11" spans="1:12" x14ac:dyDescent="0.25">
      <c r="A11" s="3" t="s">
        <v>400</v>
      </c>
      <c r="B11" s="3">
        <v>1</v>
      </c>
      <c r="C11" s="3">
        <v>1112</v>
      </c>
      <c r="D11" s="82">
        <f>B11*C11*0.1</f>
        <v>111.2</v>
      </c>
      <c r="E11" s="3">
        <v>0.39</v>
      </c>
      <c r="F11" s="30">
        <f>E11/$E$48*$F$48</f>
        <v>621.78204154876119</v>
      </c>
      <c r="G11" s="30">
        <f t="shared" si="3"/>
        <v>1003.4857323983713</v>
      </c>
      <c r="H11" s="73"/>
      <c r="I11" s="34">
        <f t="shared" si="2"/>
        <v>-1003.4857323983713</v>
      </c>
      <c r="J11" s="39"/>
      <c r="K11" s="40"/>
    </row>
    <row r="12" spans="1:12" x14ac:dyDescent="0.25">
      <c r="A12" s="3" t="s">
        <v>401</v>
      </c>
      <c r="B12" s="3">
        <v>1</v>
      </c>
      <c r="C12" s="3">
        <v>1206</v>
      </c>
      <c r="D12" s="82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 t="shared" si="3"/>
        <v>1003.3604503319762</v>
      </c>
      <c r="H12" s="73"/>
      <c r="I12" s="34">
        <f t="shared" si="2"/>
        <v>-1003.3604503319762</v>
      </c>
      <c r="J12" s="39"/>
      <c r="K12" s="40"/>
    </row>
    <row r="13" spans="1:12" x14ac:dyDescent="0.25">
      <c r="A13" s="3" t="s">
        <v>402</v>
      </c>
      <c r="B13" s="3">
        <v>1</v>
      </c>
      <c r="C13" s="3">
        <v>1325</v>
      </c>
      <c r="D13" s="82">
        <f>B13*C13*0.1</f>
        <v>132.5</v>
      </c>
      <c r="E13" s="3">
        <v>0.13</v>
      </c>
      <c r="F13" s="30">
        <f>E13/$E$48*$F$48</f>
        <v>207.26068051625373</v>
      </c>
      <c r="G13" s="30">
        <f t="shared" si="3"/>
        <v>905.46333413279035</v>
      </c>
      <c r="H13" s="73"/>
      <c r="I13" s="34">
        <f t="shared" si="2"/>
        <v>-905.46333413279035</v>
      </c>
      <c r="J13" s="39"/>
      <c r="K13" s="40"/>
    </row>
    <row r="14" spans="1:12" x14ac:dyDescent="0.25">
      <c r="A14" s="9" t="s">
        <v>403</v>
      </c>
      <c r="B14" s="9"/>
      <c r="C14" s="9"/>
      <c r="D14" s="85"/>
      <c r="E14" s="9"/>
      <c r="F14" s="10"/>
      <c r="G14" s="10"/>
      <c r="H14" s="73"/>
      <c r="I14" s="42">
        <f>SUM(I15:I18)</f>
        <v>-5268.501603490924</v>
      </c>
      <c r="J14" s="38">
        <f>5308-39</f>
        <v>5269</v>
      </c>
      <c r="K14" s="38">
        <f>J14+I14</f>
        <v>0.49839650907597388</v>
      </c>
      <c r="L14" t="s">
        <v>432</v>
      </c>
    </row>
    <row r="15" spans="1:12" x14ac:dyDescent="0.25">
      <c r="A15" s="114" t="s">
        <v>404</v>
      </c>
      <c r="B15" s="3">
        <v>1</v>
      </c>
      <c r="C15" s="3">
        <v>398</v>
      </c>
      <c r="D15" s="82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3"/>
      <c r="I15" s="34">
        <f t="shared" ref="I15:I18" si="4">H15-G15</f>
        <v>-283.21105365311621</v>
      </c>
      <c r="J15" s="39"/>
      <c r="K15" s="40"/>
    </row>
    <row r="16" spans="1:12" x14ac:dyDescent="0.25">
      <c r="A16" s="114" t="s">
        <v>405</v>
      </c>
      <c r="B16" s="3">
        <v>1</v>
      </c>
      <c r="C16" s="3">
        <v>1012</v>
      </c>
      <c r="D16" s="82">
        <f>B16*C16*0.1</f>
        <v>101.2</v>
      </c>
      <c r="E16" s="3">
        <v>0.156</v>
      </c>
      <c r="F16" s="30">
        <f>E16/$E$48*$F$48</f>
        <v>248.71281661950445</v>
      </c>
      <c r="G16" s="30">
        <f t="shared" ref="G16:G18" si="5">(B16*C16)*$B$1+D16*$B$1+F16*$B$1</f>
        <v>740.74438095934852</v>
      </c>
      <c r="H16" s="73"/>
      <c r="I16" s="34">
        <f t="shared" si="4"/>
        <v>-740.74438095934852</v>
      </c>
      <c r="J16" s="39"/>
      <c r="K16" s="40"/>
    </row>
    <row r="17" spans="1:12" x14ac:dyDescent="0.25">
      <c r="A17" s="114" t="s">
        <v>406</v>
      </c>
      <c r="B17" s="3">
        <v>1</v>
      </c>
      <c r="C17" s="3">
        <v>1312</v>
      </c>
      <c r="D17" s="82">
        <f>B17*C17*0.1</f>
        <v>131.20000000000002</v>
      </c>
      <c r="E17" s="3">
        <v>0.13</v>
      </c>
      <c r="F17" s="30">
        <f>E17/$E$48*$F$48</f>
        <v>207.26068051625373</v>
      </c>
      <c r="G17" s="30">
        <f t="shared" si="5"/>
        <v>897.68556413279043</v>
      </c>
      <c r="H17" s="73"/>
      <c r="I17" s="34">
        <f t="shared" si="4"/>
        <v>-897.68556413279043</v>
      </c>
      <c r="J17" s="39"/>
      <c r="K17" s="40"/>
    </row>
    <row r="18" spans="1:12" x14ac:dyDescent="0.25">
      <c r="A18" s="114" t="s">
        <v>407</v>
      </c>
      <c r="B18" s="3">
        <v>1</v>
      </c>
      <c r="C18" s="3">
        <v>4536</v>
      </c>
      <c r="D18" s="82">
        <f>B18*C18*0.1</f>
        <v>453.6</v>
      </c>
      <c r="E18" s="3">
        <v>0.73</v>
      </c>
      <c r="F18" s="30">
        <f>E18/$E$48*$F$48</f>
        <v>1163.8484367451169</v>
      </c>
      <c r="G18" s="30">
        <f t="shared" si="5"/>
        <v>3346.8606047456692</v>
      </c>
      <c r="H18" s="73"/>
      <c r="I18" s="34">
        <f t="shared" si="4"/>
        <v>-3346.8606047456692</v>
      </c>
      <c r="J18" s="39"/>
      <c r="K18" s="40"/>
    </row>
    <row r="19" spans="1:12" x14ac:dyDescent="0.25">
      <c r="A19" s="9" t="s">
        <v>283</v>
      </c>
      <c r="B19" s="9"/>
      <c r="C19" s="9"/>
      <c r="D19" s="85"/>
      <c r="E19" s="9"/>
      <c r="F19" s="10"/>
      <c r="G19" s="10"/>
      <c r="H19" s="73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25">
      <c r="A20" s="3" t="s">
        <v>408</v>
      </c>
      <c r="B20" s="3">
        <v>1</v>
      </c>
      <c r="C20" s="3">
        <f>2920/1000*600</f>
        <v>1752</v>
      </c>
      <c r="D20" s="82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3"/>
      <c r="I20" s="34">
        <f t="shared" ref="I20:I22" si="6">H20-G20</f>
        <v>-1646.5353727048105</v>
      </c>
      <c r="J20" s="39"/>
      <c r="K20" s="40"/>
      <c r="L20" t="s">
        <v>430</v>
      </c>
    </row>
    <row r="21" spans="1:12" x14ac:dyDescent="0.25">
      <c r="A21" s="3" t="s">
        <v>409</v>
      </c>
      <c r="B21" s="3">
        <v>1</v>
      </c>
      <c r="C21" s="3">
        <f>2773/1000*600</f>
        <v>1663.8000000000002</v>
      </c>
      <c r="D21" s="82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3"/>
      <c r="I21" s="34">
        <f t="shared" ref="I21" si="7">H21-G21</f>
        <v>-1593.7661947048109</v>
      </c>
      <c r="J21" s="39"/>
      <c r="K21" s="40"/>
      <c r="L21" t="s">
        <v>430</v>
      </c>
    </row>
    <row r="22" spans="1:12" x14ac:dyDescent="0.25">
      <c r="A22" s="3" t="s">
        <v>410</v>
      </c>
      <c r="B22" s="3">
        <v>1</v>
      </c>
      <c r="C22" s="3">
        <f>3221/1000*600</f>
        <v>1932.6000000000001</v>
      </c>
      <c r="D22" s="82">
        <f>B22*C22*0.1</f>
        <v>193.26000000000002</v>
      </c>
      <c r="E22" s="3">
        <v>0.69</v>
      </c>
      <c r="F22" s="30">
        <f>E22/$E$48*$F$48</f>
        <v>1100.0759196631927</v>
      </c>
      <c r="G22" s="30">
        <f t="shared" ref="G22" si="8">(B22*C22)*$B$1+D22*$B$1+F22*$B$1</f>
        <v>1754.5865467048106</v>
      </c>
      <c r="H22" s="73"/>
      <c r="I22" s="34">
        <f t="shared" si="6"/>
        <v>-1754.5865467048106</v>
      </c>
      <c r="J22" s="39"/>
      <c r="K22" s="40"/>
      <c r="L22" t="s">
        <v>430</v>
      </c>
    </row>
    <row r="23" spans="1:12" x14ac:dyDescent="0.25">
      <c r="A23" s="9" t="s">
        <v>411</v>
      </c>
      <c r="B23" s="9"/>
      <c r="C23" s="9"/>
      <c r="D23" s="85"/>
      <c r="E23" s="9"/>
      <c r="F23" s="10"/>
      <c r="G23" s="10"/>
      <c r="H23" s="73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25">
      <c r="A24" s="114" t="s">
        <v>412</v>
      </c>
      <c r="B24" s="3">
        <v>1</v>
      </c>
      <c r="C24" s="3">
        <v>790</v>
      </c>
      <c r="D24" s="82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3"/>
      <c r="I24" s="34">
        <f t="shared" ref="I24:I26" si="9">H24-G24</f>
        <v>-585.37818413279047</v>
      </c>
      <c r="J24" s="39"/>
      <c r="K24" s="40"/>
    </row>
    <row r="25" spans="1:12" x14ac:dyDescent="0.25">
      <c r="A25" s="114" t="s">
        <v>413</v>
      </c>
      <c r="B25" s="3">
        <v>1</v>
      </c>
      <c r="C25" s="3">
        <v>698</v>
      </c>
      <c r="D25" s="82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3"/>
      <c r="I25" s="34">
        <f t="shared" si="9"/>
        <v>-643.06458826558094</v>
      </c>
      <c r="J25" s="39"/>
      <c r="K25" s="40"/>
    </row>
    <row r="26" spans="1:12" x14ac:dyDescent="0.25">
      <c r="A26" s="99" t="s">
        <v>414</v>
      </c>
      <c r="B26" s="3">
        <v>1</v>
      </c>
      <c r="C26" s="3">
        <f>3403/1000*400</f>
        <v>1361.2</v>
      </c>
      <c r="D26" s="82">
        <f>B26*C26*0.1</f>
        <v>136.12</v>
      </c>
      <c r="E26" s="3">
        <v>0.45999999999999996</v>
      </c>
      <c r="F26" s="30">
        <f>E26/$E$48*$F$48</f>
        <v>733.38394644212849</v>
      </c>
      <c r="G26" s="30">
        <f t="shared" ref="G26" si="10">(B26*C26)*$B$1+D26*$B$1+F26*$B$1</f>
        <v>1213.2798764698737</v>
      </c>
      <c r="H26" s="73"/>
      <c r="I26" s="34">
        <f t="shared" si="9"/>
        <v>-1213.2798764698737</v>
      </c>
      <c r="J26" s="39"/>
      <c r="K26" s="40"/>
      <c r="L26" s="120">
        <f>10*2</f>
        <v>20</v>
      </c>
    </row>
    <row r="27" spans="1:12" x14ac:dyDescent="0.25">
      <c r="A27" s="9" t="s">
        <v>415</v>
      </c>
      <c r="B27" s="9"/>
      <c r="C27" s="9"/>
      <c r="D27" s="85"/>
      <c r="E27" s="9"/>
      <c r="F27" s="10"/>
      <c r="G27" s="10"/>
      <c r="H27" s="73"/>
      <c r="I27" s="42">
        <f>SUM(I28:I29)</f>
        <v>-2160.2010449397476</v>
      </c>
      <c r="J27" s="38">
        <f>2173+29</f>
        <v>2202</v>
      </c>
      <c r="K27" s="38">
        <f>J27+I27-42</f>
        <v>-0.20104493974758952</v>
      </c>
    </row>
    <row r="28" spans="1:12" x14ac:dyDescent="0.25">
      <c r="A28" s="3" t="s">
        <v>408</v>
      </c>
      <c r="B28" s="3">
        <v>1</v>
      </c>
      <c r="C28" s="3">
        <f>2920/1000*400</f>
        <v>1168</v>
      </c>
      <c r="D28" s="82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3"/>
      <c r="I28" s="34">
        <f t="shared" ref="I28:I29" si="11">H28-G28</f>
        <v>-1097.6902484698737</v>
      </c>
      <c r="J28" s="39"/>
      <c r="K28" s="40"/>
      <c r="L28" s="120">
        <f>10+10</f>
        <v>20</v>
      </c>
    </row>
    <row r="29" spans="1:12" x14ac:dyDescent="0.25">
      <c r="A29" s="3" t="s">
        <v>409</v>
      </c>
      <c r="B29" s="3">
        <v>1</v>
      </c>
      <c r="C29" s="3">
        <f>2773/1000*400</f>
        <v>1109.2</v>
      </c>
      <c r="D29" s="82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 t="shared" ref="G29" si="12">(B29*C29)*$B$1+D29*$B$1+F29*$B$1</f>
        <v>1062.5107964698736</v>
      </c>
      <c r="H29" s="73"/>
      <c r="I29" s="34">
        <f t="shared" si="11"/>
        <v>-1062.5107964698736</v>
      </c>
      <c r="J29" s="39"/>
      <c r="K29" s="40"/>
      <c r="L29" s="120">
        <f>11+11</f>
        <v>22</v>
      </c>
    </row>
    <row r="30" spans="1:12" x14ac:dyDescent="0.25">
      <c r="A30" s="9" t="s">
        <v>416</v>
      </c>
      <c r="B30" s="9"/>
      <c r="C30" s="9"/>
      <c r="D30" s="85"/>
      <c r="E30" s="9"/>
      <c r="F30" s="10"/>
      <c r="G30" s="10"/>
      <c r="H30" s="73"/>
      <c r="I30" s="42">
        <f>SUM(I31:I32)</f>
        <v>-1799.8097223983714</v>
      </c>
      <c r="J30" s="38">
        <f>1799+1</f>
        <v>1800</v>
      </c>
      <c r="K30" s="38">
        <f>J30+I30</f>
        <v>0.19027760162862251</v>
      </c>
    </row>
    <row r="31" spans="1:12" x14ac:dyDescent="0.25">
      <c r="A31" s="114" t="s">
        <v>417</v>
      </c>
      <c r="B31" s="3">
        <v>1</v>
      </c>
      <c r="C31" s="3">
        <v>1131</v>
      </c>
      <c r="D31" s="82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3"/>
      <c r="I31" s="34">
        <f t="shared" ref="I31:I32" si="13">H31-G31</f>
        <v>-902.12415826558095</v>
      </c>
      <c r="J31" s="39"/>
      <c r="K31" s="40"/>
    </row>
    <row r="32" spans="1:12" x14ac:dyDescent="0.25">
      <c r="A32" s="99" t="s">
        <v>418</v>
      </c>
      <c r="B32" s="3">
        <v>1</v>
      </c>
      <c r="C32" s="3">
        <v>1312</v>
      </c>
      <c r="D32" s="82">
        <f>B32*C32*0.1</f>
        <v>131.20000000000002</v>
      </c>
      <c r="E32" s="3">
        <v>0.13</v>
      </c>
      <c r="F32" s="30">
        <f>E32/$E$48*$F$48</f>
        <v>207.26068051625373</v>
      </c>
      <c r="G32" s="30">
        <f t="shared" ref="G32" si="14">(B32*C32)*$B$1+D32*$B$1+F32*$B$1</f>
        <v>897.68556413279043</v>
      </c>
      <c r="H32" s="73"/>
      <c r="I32" s="34">
        <f t="shared" si="13"/>
        <v>-897.68556413279043</v>
      </c>
      <c r="J32" s="39"/>
      <c r="K32" s="40"/>
    </row>
    <row r="33" spans="1:12" x14ac:dyDescent="0.25">
      <c r="A33" s="9" t="s">
        <v>143</v>
      </c>
      <c r="B33" s="9"/>
      <c r="C33" s="9"/>
      <c r="D33" s="85"/>
      <c r="E33" s="9"/>
      <c r="F33" s="10"/>
      <c r="G33" s="10"/>
      <c r="H33" s="73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25">
      <c r="A34" s="3" t="s">
        <v>410</v>
      </c>
      <c r="B34" s="3">
        <v>1</v>
      </c>
      <c r="C34" s="3">
        <f>3221/1000*400</f>
        <v>1288.4000000000001</v>
      </c>
      <c r="D34" s="82">
        <f t="shared" ref="D34" si="15"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3"/>
      <c r="I34" s="34">
        <f>H34-G34</f>
        <v>-1169.7243644698738</v>
      </c>
      <c r="J34" s="39"/>
      <c r="K34" s="40"/>
      <c r="L34" t="s">
        <v>431</v>
      </c>
    </row>
    <row r="35" spans="1:12" x14ac:dyDescent="0.25">
      <c r="A35" s="9" t="s">
        <v>419</v>
      </c>
      <c r="B35" s="9"/>
      <c r="C35" s="9"/>
      <c r="D35" s="85"/>
      <c r="E35" s="9"/>
      <c r="F35" s="10"/>
      <c r="G35" s="10"/>
      <c r="H35" s="73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25">
      <c r="A36" s="99" t="s">
        <v>420</v>
      </c>
      <c r="B36" s="3">
        <v>1</v>
      </c>
      <c r="C36" s="3">
        <v>5182</v>
      </c>
      <c r="D36" s="82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3"/>
      <c r="I36" s="34">
        <f>H36-G36</f>
        <v>-4565.8168737262758</v>
      </c>
      <c r="J36" s="39"/>
      <c r="K36" s="40"/>
    </row>
    <row r="37" spans="1:12" x14ac:dyDescent="0.25">
      <c r="A37" s="9" t="s">
        <v>421</v>
      </c>
      <c r="B37" s="9"/>
      <c r="C37" s="9"/>
      <c r="D37" s="85"/>
      <c r="E37" s="9"/>
      <c r="F37" s="10"/>
      <c r="G37" s="10"/>
      <c r="H37" s="73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25">
      <c r="A38" s="99" t="s">
        <v>420</v>
      </c>
      <c r="B38" s="3">
        <v>1</v>
      </c>
      <c r="C38" s="3">
        <v>5182</v>
      </c>
      <c r="D38" s="82">
        <f t="shared" ref="D38" si="16"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3"/>
      <c r="I38" s="34">
        <f>H38-G38</f>
        <v>-4565.8168737262758</v>
      </c>
      <c r="J38" s="39"/>
      <c r="K38" s="40"/>
    </row>
    <row r="39" spans="1:12" x14ac:dyDescent="0.25">
      <c r="A39" s="9" t="s">
        <v>422</v>
      </c>
      <c r="B39" s="9"/>
      <c r="C39" s="9"/>
      <c r="D39" s="85"/>
      <c r="E39" s="9"/>
      <c r="F39" s="10"/>
      <c r="G39" s="10"/>
      <c r="H39" s="73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25">
      <c r="A40" s="99" t="s">
        <v>423</v>
      </c>
      <c r="B40" s="3">
        <v>1</v>
      </c>
      <c r="C40" s="3">
        <v>2703</v>
      </c>
      <c r="D40" s="82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3"/>
      <c r="I40" s="34">
        <f>H40-G40</f>
        <v>-3212.7279838794948</v>
      </c>
      <c r="J40" s="39"/>
      <c r="K40" s="40"/>
    </row>
    <row r="41" spans="1:12" x14ac:dyDescent="0.25">
      <c r="A41" s="9" t="s">
        <v>424</v>
      </c>
      <c r="B41" s="9"/>
      <c r="C41" s="9"/>
      <c r="D41" s="85"/>
      <c r="E41" s="9"/>
      <c r="F41" s="10"/>
      <c r="G41" s="10"/>
      <c r="H41" s="73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25">
      <c r="A42" s="99" t="s">
        <v>425</v>
      </c>
      <c r="B42" s="3">
        <v>1</v>
      </c>
      <c r="C42" s="3">
        <v>1217</v>
      </c>
      <c r="D42" s="82">
        <f t="shared" ref="D42" si="17"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3"/>
      <c r="I42" s="34">
        <f>H42-G42</f>
        <v>-1009.941640331976</v>
      </c>
      <c r="J42" s="39"/>
      <c r="K42" s="40"/>
    </row>
    <row r="43" spans="1:12" x14ac:dyDescent="0.25">
      <c r="A43" s="89" t="s">
        <v>30</v>
      </c>
      <c r="B43" s="9"/>
      <c r="C43" s="9"/>
      <c r="D43" s="85"/>
      <c r="E43" s="9"/>
      <c r="F43" s="10"/>
      <c r="G43" s="10"/>
      <c r="H43" s="73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25">
      <c r="A44" s="6">
        <v>1</v>
      </c>
      <c r="B44" s="3">
        <v>1</v>
      </c>
      <c r="C44">
        <f>3403/1000*200</f>
        <v>680.6</v>
      </c>
      <c r="D44" s="82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3"/>
      <c r="I44" s="34">
        <f t="shared" ref="I44:I47" si="18">H44-G44</f>
        <v>-606.63993823493684</v>
      </c>
      <c r="J44" s="39"/>
      <c r="K44" s="40"/>
    </row>
    <row r="45" spans="1:12" x14ac:dyDescent="0.25">
      <c r="A45" s="6">
        <v>2</v>
      </c>
      <c r="B45" s="3">
        <v>1</v>
      </c>
      <c r="C45" s="3">
        <v>1325</v>
      </c>
      <c r="D45" s="82">
        <f>B45*C45*0.1</f>
        <v>132.5</v>
      </c>
      <c r="E45" s="3">
        <v>0.13</v>
      </c>
      <c r="F45" s="30">
        <f>E45/$E$48*$F$48</f>
        <v>207.26068051625373</v>
      </c>
      <c r="G45" s="30">
        <f t="shared" ref="G45:G47" si="19">(B45*C45)*$B$1+D45*$B$1+F45*$B$1</f>
        <v>905.46333413279035</v>
      </c>
      <c r="H45" s="73"/>
      <c r="I45" s="34">
        <f t="shared" si="18"/>
        <v>-905.46333413279035</v>
      </c>
      <c r="J45" s="39"/>
      <c r="K45" s="40"/>
    </row>
    <row r="46" spans="1:12" x14ac:dyDescent="0.25">
      <c r="A46" s="6">
        <v>3</v>
      </c>
      <c r="B46" s="3">
        <v>1</v>
      </c>
      <c r="C46" s="3">
        <v>1312</v>
      </c>
      <c r="D46" s="82">
        <f>B46*C46*0.1</f>
        <v>131.20000000000002</v>
      </c>
      <c r="E46" s="3">
        <v>0.13</v>
      </c>
      <c r="F46" s="30">
        <f>E46/$E$48*$F$48</f>
        <v>207.26068051625373</v>
      </c>
      <c r="G46" s="30">
        <f t="shared" si="19"/>
        <v>897.68556413279043</v>
      </c>
      <c r="H46" s="73"/>
      <c r="I46" s="34">
        <f t="shared" si="18"/>
        <v>-897.68556413279043</v>
      </c>
      <c r="J46" s="39"/>
      <c r="K46" s="40"/>
    </row>
    <row r="47" spans="1:12" x14ac:dyDescent="0.25">
      <c r="A47" s="6">
        <v>4</v>
      </c>
      <c r="B47" s="3">
        <v>1</v>
      </c>
      <c r="C47" s="3">
        <v>1252</v>
      </c>
      <c r="D47" s="82">
        <f>B47*C47*0.1</f>
        <v>125.2</v>
      </c>
      <c r="E47" s="3">
        <f>0.3*1.3</f>
        <v>0.39</v>
      </c>
      <c r="F47" s="30">
        <f>E47/$E$48*$F$48</f>
        <v>621.78204154876119</v>
      </c>
      <c r="G47" s="30">
        <f t="shared" si="19"/>
        <v>1087.2463323983711</v>
      </c>
      <c r="H47" s="73"/>
      <c r="I47" s="34">
        <f t="shared" si="18"/>
        <v>-1087.2463323983711</v>
      </c>
      <c r="J47" s="39"/>
      <c r="K47" s="40"/>
    </row>
    <row r="48" spans="1:12" x14ac:dyDescent="0.25">
      <c r="A48" s="27"/>
      <c r="B48" s="28"/>
      <c r="C48" s="28"/>
      <c r="D48" s="28"/>
      <c r="E48" s="100">
        <f>SUM(E4:E47)</f>
        <v>14.488999999999999</v>
      </c>
      <c r="F48" s="95">
        <v>23100</v>
      </c>
      <c r="G48" s="28">
        <f>F48/E48</f>
        <v>1594.3129270481056</v>
      </c>
      <c r="H48" s="73"/>
      <c r="I48" s="28"/>
      <c r="J48" s="28"/>
      <c r="K48" s="28"/>
    </row>
    <row r="49" spans="1:7" x14ac:dyDescent="0.25">
      <c r="G49">
        <f>G48*B1</f>
        <v>867.14680102146474</v>
      </c>
    </row>
    <row r="50" spans="1:7" ht="36.75" customHeight="1" x14ac:dyDescent="0.25">
      <c r="A50" s="121" t="s">
        <v>391</v>
      </c>
      <c r="B50" s="122"/>
      <c r="C50" s="122"/>
      <c r="D50" s="122"/>
      <c r="E50" s="122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zoomScale="80" zoomScaleNormal="80" workbookViewId="0">
      <selection activeCell="L40" sqref="L40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customWidth="1"/>
    <col min="11" max="11" width="14.85546875" customWidth="1"/>
    <col min="12" max="12" width="13.140625" customWidth="1"/>
  </cols>
  <sheetData>
    <row r="1" spans="1:12" x14ac:dyDescent="0.25">
      <c r="A1" s="1" t="s">
        <v>5</v>
      </c>
      <c r="B1" s="45">
        <f>0.55</f>
        <v>0.55000000000000004</v>
      </c>
      <c r="C1" s="1"/>
      <c r="I1" s="41"/>
      <c r="J1" s="1" t="s">
        <v>290</v>
      </c>
      <c r="K1" s="118">
        <v>42975</v>
      </c>
    </row>
    <row r="2" spans="1:12" ht="21" x14ac:dyDescent="0.35">
      <c r="A2" s="8" t="s">
        <v>267</v>
      </c>
      <c r="B2" s="41"/>
      <c r="I2" s="41"/>
      <c r="K2" s="37"/>
    </row>
    <row r="3" spans="1:12" ht="45.75" customHeight="1" x14ac:dyDescent="0.25">
      <c r="A3" s="115" t="s">
        <v>426</v>
      </c>
      <c r="B3" s="115" t="s">
        <v>392</v>
      </c>
      <c r="C3" s="115" t="s">
        <v>60</v>
      </c>
      <c r="D3" s="115" t="s">
        <v>59</v>
      </c>
      <c r="E3" s="115" t="s">
        <v>393</v>
      </c>
      <c r="F3" s="115" t="s">
        <v>61</v>
      </c>
      <c r="G3" s="115" t="s">
        <v>65</v>
      </c>
      <c r="H3" s="116"/>
      <c r="I3" s="115" t="s">
        <v>62</v>
      </c>
      <c r="J3" s="117" t="s">
        <v>17</v>
      </c>
      <c r="K3" s="115" t="s">
        <v>62</v>
      </c>
      <c r="L3" s="119" t="s">
        <v>429</v>
      </c>
    </row>
    <row r="4" spans="1:12" x14ac:dyDescent="0.25">
      <c r="A4" s="9" t="s">
        <v>42</v>
      </c>
      <c r="B4" s="9"/>
      <c r="C4" s="9"/>
      <c r="D4" s="85"/>
      <c r="E4" s="9"/>
      <c r="F4" s="10"/>
      <c r="G4" s="10"/>
      <c r="H4" s="128"/>
      <c r="I4" s="125">
        <f>SUM(I5)</f>
        <v>-611.25024802910866</v>
      </c>
      <c r="J4" s="38"/>
      <c r="K4" s="38">
        <f>J4+I4</f>
        <v>-611.25024802910866</v>
      </c>
    </row>
    <row r="5" spans="1:12" x14ac:dyDescent="0.25">
      <c r="A5" s="99" t="s">
        <v>433</v>
      </c>
      <c r="B5" s="3">
        <v>1</v>
      </c>
      <c r="C5" s="3">
        <f>3221/1000*200</f>
        <v>644.20000000000005</v>
      </c>
      <c r="D5" s="3">
        <f>B5*C5*0.1</f>
        <v>64.42</v>
      </c>
      <c r="E5" s="3">
        <f>0.2*1.15</f>
        <v>0.22999999999999998</v>
      </c>
      <c r="F5" s="3">
        <f>E5/$E$56*$F$56</f>
        <v>402.744087325652</v>
      </c>
      <c r="G5" s="3">
        <f>(B5*C5)*$B$1+D5*$B$1+F5*$B$1</f>
        <v>611.25024802910866</v>
      </c>
      <c r="H5" s="128"/>
      <c r="I5" s="129">
        <f>H5-G5</f>
        <v>-611.25024802910866</v>
      </c>
      <c r="J5" s="3"/>
      <c r="K5" s="3"/>
    </row>
    <row r="6" spans="1:12" x14ac:dyDescent="0.25">
      <c r="A6" s="9" t="s">
        <v>434</v>
      </c>
      <c r="B6" s="9"/>
      <c r="C6" s="9"/>
      <c r="D6" s="85"/>
      <c r="E6" s="9"/>
      <c r="F6" s="9"/>
      <c r="G6" s="9"/>
      <c r="H6" s="128"/>
      <c r="I6" s="126">
        <f>I7</f>
        <v>-305.62512401455433</v>
      </c>
      <c r="J6" s="10"/>
      <c r="K6" s="38">
        <f t="shared" ref="K6:K51" si="0">J6+I6</f>
        <v>-305.62512401455433</v>
      </c>
    </row>
    <row r="7" spans="1:12" x14ac:dyDescent="0.25">
      <c r="A7" s="99" t="s">
        <v>435</v>
      </c>
      <c r="B7" s="3">
        <v>1</v>
      </c>
      <c r="C7" s="3">
        <f>3221/1000*100</f>
        <v>322.10000000000002</v>
      </c>
      <c r="D7" s="3">
        <f t="shared" ref="D7:D55" si="1">B7*C7*0.1</f>
        <v>32.21</v>
      </c>
      <c r="E7" s="3">
        <f>0.1*1.15</f>
        <v>0.11499999999999999</v>
      </c>
      <c r="F7" s="3">
        <f>E7/$E$56*$F$56</f>
        <v>201.372043662826</v>
      </c>
      <c r="G7" s="3">
        <f t="shared" ref="G7:G55" si="2">(B7*C7)*$B$1+D7*$B$1+F7*$B$1</f>
        <v>305.62512401455433</v>
      </c>
      <c r="H7" s="128"/>
      <c r="I7" s="129">
        <f t="shared" ref="I7:I55" si="3">H7-G7</f>
        <v>-305.62512401455433</v>
      </c>
      <c r="J7" s="3"/>
      <c r="K7" s="3"/>
    </row>
    <row r="8" spans="1:12" x14ac:dyDescent="0.25">
      <c r="A8" s="9" t="s">
        <v>436</v>
      </c>
      <c r="B8" s="9"/>
      <c r="C8" s="9"/>
      <c r="D8" s="85"/>
      <c r="E8" s="9"/>
      <c r="F8" s="9"/>
      <c r="G8" s="9"/>
      <c r="H8" s="128"/>
      <c r="I8" s="126">
        <f>I9</f>
        <v>-305.62512401455433</v>
      </c>
      <c r="J8" s="10"/>
      <c r="K8" s="38">
        <f t="shared" si="0"/>
        <v>-305.62512401455433</v>
      </c>
    </row>
    <row r="9" spans="1:12" x14ac:dyDescent="0.25">
      <c r="A9" s="99" t="s">
        <v>435</v>
      </c>
      <c r="B9" s="3">
        <v>1</v>
      </c>
      <c r="C9" s="3">
        <f>3221/1000*100</f>
        <v>322.10000000000002</v>
      </c>
      <c r="D9" s="3">
        <f t="shared" si="1"/>
        <v>32.21</v>
      </c>
      <c r="E9" s="3">
        <f>0.1*1.15</f>
        <v>0.11499999999999999</v>
      </c>
      <c r="F9" s="3">
        <f>E9/$E$56*$F$56</f>
        <v>201.372043662826</v>
      </c>
      <c r="G9" s="3">
        <f t="shared" si="2"/>
        <v>305.62512401455433</v>
      </c>
      <c r="H9" s="128"/>
      <c r="I9" s="129">
        <f t="shared" si="3"/>
        <v>-305.62512401455433</v>
      </c>
      <c r="J9" s="3"/>
      <c r="K9" s="3"/>
    </row>
    <row r="10" spans="1:12" x14ac:dyDescent="0.25">
      <c r="A10" s="9" t="s">
        <v>437</v>
      </c>
      <c r="B10" s="9"/>
      <c r="C10" s="9"/>
      <c r="D10" s="85"/>
      <c r="E10" s="9"/>
      <c r="F10" s="9"/>
      <c r="G10" s="9"/>
      <c r="H10" s="128"/>
      <c r="I10" s="126">
        <f>I11+I12</f>
        <v>-1727.0708996361434</v>
      </c>
      <c r="J10" s="10"/>
      <c r="K10" s="38">
        <f t="shared" si="0"/>
        <v>-1727.0708996361434</v>
      </c>
    </row>
    <row r="11" spans="1:12" x14ac:dyDescent="0.25">
      <c r="A11" s="99" t="s">
        <v>438</v>
      </c>
      <c r="B11" s="3">
        <v>1</v>
      </c>
      <c r="C11" s="3">
        <f>3221/1000*300</f>
        <v>966.30000000000007</v>
      </c>
      <c r="D11" s="3">
        <f t="shared" si="1"/>
        <v>96.63000000000001</v>
      </c>
      <c r="E11" s="3">
        <f>0.3*1.15</f>
        <v>0.34499999999999997</v>
      </c>
      <c r="F11" s="3">
        <f>E11/$E$56*$F$56</f>
        <v>604.11613098847795</v>
      </c>
      <c r="G11" s="3">
        <f t="shared" si="2"/>
        <v>916.87537204366299</v>
      </c>
      <c r="H11" s="128"/>
      <c r="I11" s="129">
        <f t="shared" si="3"/>
        <v>-916.87537204366299</v>
      </c>
      <c r="J11" s="3"/>
      <c r="K11" s="3"/>
    </row>
    <row r="12" spans="1:12" x14ac:dyDescent="0.25">
      <c r="A12" s="3" t="s">
        <v>471</v>
      </c>
      <c r="B12" s="3">
        <v>1</v>
      </c>
      <c r="C12" s="3">
        <v>1215</v>
      </c>
      <c r="D12" s="3">
        <f>B12*C12*0.1</f>
        <v>121.5</v>
      </c>
      <c r="E12" s="3">
        <f>0.06*1.3</f>
        <v>7.8E-2</v>
      </c>
      <c r="F12" s="3">
        <f>E12/$E$56*$F$56</f>
        <v>136.58277744087329</v>
      </c>
      <c r="G12" s="3">
        <f>(B12*C12)*$B$1+D12*$B$1+F12*$B$1</f>
        <v>810.1955275924804</v>
      </c>
      <c r="H12" s="128"/>
      <c r="I12" s="129">
        <f>H12-G12</f>
        <v>-810.1955275924804</v>
      </c>
      <c r="J12" s="3"/>
      <c r="K12" s="3"/>
    </row>
    <row r="13" spans="1:12" x14ac:dyDescent="0.25">
      <c r="A13" s="9" t="s">
        <v>439</v>
      </c>
      <c r="B13" s="9"/>
      <c r="C13" s="9"/>
      <c r="D13" s="85"/>
      <c r="E13" s="9"/>
      <c r="F13" s="9"/>
      <c r="G13" s="9"/>
      <c r="H13" s="128"/>
      <c r="I13" s="126">
        <f>I14</f>
        <v>-862.24387204366292</v>
      </c>
      <c r="J13" s="10"/>
      <c r="K13" s="38">
        <f t="shared" si="0"/>
        <v>-862.24387204366292</v>
      </c>
    </row>
    <row r="14" spans="1:12" x14ac:dyDescent="0.25">
      <c r="A14" s="3" t="s">
        <v>440</v>
      </c>
      <c r="B14" s="3">
        <v>1</v>
      </c>
      <c r="C14" s="3">
        <f>2920/1000*300</f>
        <v>876</v>
      </c>
      <c r="D14" s="3">
        <f t="shared" si="1"/>
        <v>87.600000000000009</v>
      </c>
      <c r="E14" s="3">
        <f>0.3*1.15</f>
        <v>0.34499999999999997</v>
      </c>
      <c r="F14" s="3">
        <f>E14/$E$56*$F$56</f>
        <v>604.11613098847795</v>
      </c>
      <c r="G14" s="3">
        <f t="shared" si="2"/>
        <v>862.24387204366292</v>
      </c>
      <c r="H14" s="128"/>
      <c r="I14" s="129">
        <f t="shared" si="3"/>
        <v>-862.24387204366292</v>
      </c>
      <c r="J14" s="3"/>
      <c r="K14" s="3"/>
    </row>
    <row r="15" spans="1:12" x14ac:dyDescent="0.25">
      <c r="A15" s="9" t="s">
        <v>441</v>
      </c>
      <c r="B15" s="9"/>
      <c r="C15" s="9"/>
      <c r="D15" s="85"/>
      <c r="E15" s="9"/>
      <c r="F15" s="9"/>
      <c r="G15" s="9"/>
      <c r="H15" s="128"/>
      <c r="I15" s="126">
        <f>SUM(I16:I17)</f>
        <v>-1697.8072440873259</v>
      </c>
      <c r="J15" s="10"/>
      <c r="K15" s="38">
        <f t="shared" si="0"/>
        <v>-1697.8072440873259</v>
      </c>
    </row>
    <row r="16" spans="1:12" x14ac:dyDescent="0.25">
      <c r="A16" s="3" t="s">
        <v>442</v>
      </c>
      <c r="B16" s="3">
        <v>1</v>
      </c>
      <c r="C16" s="3">
        <f>2773/1000*300</f>
        <v>831.90000000000009</v>
      </c>
      <c r="D16" s="3">
        <f t="shared" si="1"/>
        <v>83.190000000000012</v>
      </c>
      <c r="E16" s="3">
        <f>0.3*1.15</f>
        <v>0.34499999999999997</v>
      </c>
      <c r="F16" s="3">
        <f>E16/$E$56*$F$56</f>
        <v>604.11613098847795</v>
      </c>
      <c r="G16" s="3">
        <f t="shared" si="2"/>
        <v>835.56337204366298</v>
      </c>
      <c r="H16" s="128"/>
      <c r="I16" s="129">
        <f t="shared" si="3"/>
        <v>-835.56337204366298</v>
      </c>
      <c r="J16" s="3"/>
      <c r="K16" s="3"/>
    </row>
    <row r="17" spans="1:11" x14ac:dyDescent="0.25">
      <c r="A17" s="3" t="s">
        <v>440</v>
      </c>
      <c r="B17" s="3">
        <v>1</v>
      </c>
      <c r="C17" s="3">
        <f>2920/1000*300</f>
        <v>876</v>
      </c>
      <c r="D17" s="3">
        <f t="shared" si="1"/>
        <v>87.600000000000009</v>
      </c>
      <c r="E17" s="3">
        <f>0.3*1.15</f>
        <v>0.34499999999999997</v>
      </c>
      <c r="F17" s="3">
        <f>E17/$E$56*$F$56</f>
        <v>604.11613098847795</v>
      </c>
      <c r="G17" s="3">
        <f t="shared" si="2"/>
        <v>862.24387204366292</v>
      </c>
      <c r="H17" s="128"/>
      <c r="I17" s="129">
        <f t="shared" si="3"/>
        <v>-862.24387204366292</v>
      </c>
      <c r="J17" s="3"/>
      <c r="K17" s="3"/>
    </row>
    <row r="18" spans="1:11" x14ac:dyDescent="0.25">
      <c r="A18" s="9" t="s">
        <v>443</v>
      </c>
      <c r="B18" s="9"/>
      <c r="C18" s="9"/>
      <c r="D18" s="85"/>
      <c r="E18" s="9"/>
      <c r="F18" s="9"/>
      <c r="G18" s="9"/>
      <c r="H18" s="128"/>
      <c r="I18" s="126">
        <f>SUM(I19:I20)</f>
        <v>-2263.7429921164344</v>
      </c>
      <c r="J18" s="10"/>
      <c r="K18" s="38">
        <f t="shared" si="0"/>
        <v>-2263.7429921164344</v>
      </c>
    </row>
    <row r="19" spans="1:11" x14ac:dyDescent="0.25">
      <c r="A19" s="3" t="s">
        <v>444</v>
      </c>
      <c r="B19" s="3">
        <v>1</v>
      </c>
      <c r="C19" s="3">
        <f>2920/1000*400</f>
        <v>1168</v>
      </c>
      <c r="D19" s="3">
        <f t="shared" si="1"/>
        <v>116.80000000000001</v>
      </c>
      <c r="E19" s="3">
        <f>0.4*1.15</f>
        <v>0.45999999999999996</v>
      </c>
      <c r="F19" s="3">
        <f>E19/$E$56*$F$56</f>
        <v>805.48817465130401</v>
      </c>
      <c r="G19" s="3">
        <f t="shared" si="2"/>
        <v>1149.6584960582172</v>
      </c>
      <c r="H19" s="128"/>
      <c r="I19" s="129">
        <f t="shared" si="3"/>
        <v>-1149.6584960582172</v>
      </c>
      <c r="J19" s="3"/>
      <c r="K19" s="3"/>
    </row>
    <row r="20" spans="1:11" x14ac:dyDescent="0.25">
      <c r="A20" s="99" t="s">
        <v>445</v>
      </c>
      <c r="B20" s="3">
        <v>1</v>
      </c>
      <c r="C20" s="3">
        <f>2773/1000*400</f>
        <v>1109.2</v>
      </c>
      <c r="D20" s="3">
        <f t="shared" si="1"/>
        <v>110.92000000000002</v>
      </c>
      <c r="E20" s="3">
        <f>0.4*1.15</f>
        <v>0.45999999999999996</v>
      </c>
      <c r="F20" s="3">
        <f>E20/$E$56*$F$56</f>
        <v>805.48817465130401</v>
      </c>
      <c r="G20" s="3">
        <f t="shared" si="2"/>
        <v>1114.0844960582172</v>
      </c>
      <c r="H20" s="128"/>
      <c r="I20" s="129">
        <f t="shared" si="3"/>
        <v>-1114.0844960582172</v>
      </c>
      <c r="J20" s="3"/>
      <c r="K20" s="3"/>
    </row>
    <row r="21" spans="1:11" x14ac:dyDescent="0.25">
      <c r="A21" s="9" t="s">
        <v>446</v>
      </c>
      <c r="B21" s="9"/>
      <c r="C21" s="9"/>
      <c r="D21" s="85"/>
      <c r="E21" s="9"/>
      <c r="F21" s="9"/>
      <c r="G21" s="9"/>
      <c r="H21" s="128"/>
      <c r="I21" s="126">
        <f>SUM(I22:I23)</f>
        <v>-2139.3758681018803</v>
      </c>
      <c r="J21" s="10"/>
      <c r="K21" s="38">
        <f t="shared" si="0"/>
        <v>-2139.3758681018803</v>
      </c>
    </row>
    <row r="22" spans="1:11" x14ac:dyDescent="0.25">
      <c r="A22" s="99" t="s">
        <v>447</v>
      </c>
      <c r="B22" s="3">
        <v>1</v>
      </c>
      <c r="C22" s="3">
        <f>3221/1000*300</f>
        <v>966.30000000000007</v>
      </c>
      <c r="D22" s="3">
        <f t="shared" si="1"/>
        <v>96.63000000000001</v>
      </c>
      <c r="E22" s="3">
        <f>0.3*1.15</f>
        <v>0.34499999999999997</v>
      </c>
      <c r="F22" s="3">
        <f>E22/$E$56*$F$56</f>
        <v>604.11613098847795</v>
      </c>
      <c r="G22" s="3">
        <f t="shared" si="2"/>
        <v>916.87537204366299</v>
      </c>
      <c r="H22" s="128"/>
      <c r="I22" s="129">
        <f t="shared" si="3"/>
        <v>-916.87537204366299</v>
      </c>
      <c r="J22" s="3"/>
      <c r="K22" s="3"/>
    </row>
    <row r="23" spans="1:11" x14ac:dyDescent="0.25">
      <c r="A23" s="99" t="s">
        <v>448</v>
      </c>
      <c r="B23" s="3">
        <v>1</v>
      </c>
      <c r="C23" s="3">
        <f>3221/1000*400</f>
        <v>1288.4000000000001</v>
      </c>
      <c r="D23" s="3">
        <f t="shared" si="1"/>
        <v>128.84</v>
      </c>
      <c r="E23" s="3">
        <f>0.4*1.15</f>
        <v>0.45999999999999996</v>
      </c>
      <c r="F23" s="3">
        <f>E23/$E$56*$F$56</f>
        <v>805.48817465130401</v>
      </c>
      <c r="G23" s="3">
        <f t="shared" si="2"/>
        <v>1222.5004960582173</v>
      </c>
      <c r="H23" s="128"/>
      <c r="I23" s="129">
        <f t="shared" si="3"/>
        <v>-1222.5004960582173</v>
      </c>
      <c r="J23" s="3"/>
      <c r="K23" s="3"/>
    </row>
    <row r="24" spans="1:11" x14ac:dyDescent="0.25">
      <c r="A24" s="9" t="s">
        <v>449</v>
      </c>
      <c r="B24" s="9"/>
      <c r="C24" s="9"/>
      <c r="D24" s="85"/>
      <c r="E24" s="9"/>
      <c r="F24" s="9"/>
      <c r="G24" s="9"/>
      <c r="H24" s="128"/>
      <c r="I24" s="126">
        <f>I25+I26</f>
        <v>-584.14624802910862</v>
      </c>
      <c r="J24" s="10"/>
      <c r="K24" s="38">
        <f t="shared" si="0"/>
        <v>-584.14624802910862</v>
      </c>
    </row>
    <row r="25" spans="1:11" x14ac:dyDescent="0.25">
      <c r="A25" s="99" t="s">
        <v>450</v>
      </c>
      <c r="B25" s="3">
        <v>1</v>
      </c>
      <c r="C25" s="3">
        <f>2773/1000*100</f>
        <v>277.3</v>
      </c>
      <c r="D25" s="3">
        <f t="shared" si="1"/>
        <v>27.730000000000004</v>
      </c>
      <c r="E25" s="3">
        <f>0.1*1.15</f>
        <v>0.11499999999999999</v>
      </c>
      <c r="F25" s="3">
        <f>E25/$E$56*$F$56</f>
        <v>201.372043662826</v>
      </c>
      <c r="G25" s="3">
        <f t="shared" si="2"/>
        <v>278.52112401455429</v>
      </c>
      <c r="H25" s="128"/>
      <c r="I25" s="129">
        <f t="shared" si="3"/>
        <v>-278.52112401455429</v>
      </c>
      <c r="J25" s="3"/>
      <c r="K25" s="3"/>
    </row>
    <row r="26" spans="1:11" x14ac:dyDescent="0.25">
      <c r="A26" s="99" t="s">
        <v>451</v>
      </c>
      <c r="B26" s="3">
        <v>1</v>
      </c>
      <c r="C26" s="3">
        <f>3221/1000*100</f>
        <v>322.10000000000002</v>
      </c>
      <c r="D26" s="3">
        <f t="shared" si="1"/>
        <v>32.21</v>
      </c>
      <c r="E26" s="3">
        <f>0.1*1.15</f>
        <v>0.11499999999999999</v>
      </c>
      <c r="F26" s="3">
        <f>E26/$E$56*$F$56</f>
        <v>201.372043662826</v>
      </c>
      <c r="G26" s="3">
        <f t="shared" si="2"/>
        <v>305.62512401455433</v>
      </c>
      <c r="H26" s="128"/>
      <c r="I26" s="129">
        <f t="shared" si="3"/>
        <v>-305.62512401455433</v>
      </c>
      <c r="J26" s="3"/>
      <c r="K26" s="3"/>
    </row>
    <row r="27" spans="1:11" x14ac:dyDescent="0.25">
      <c r="A27" s="9" t="s">
        <v>452</v>
      </c>
      <c r="B27" s="9"/>
      <c r="C27" s="9"/>
      <c r="D27" s="85"/>
      <c r="E27" s="9"/>
      <c r="F27" s="9"/>
      <c r="G27" s="9"/>
      <c r="H27" s="128"/>
      <c r="I27" s="126">
        <f>I28+I29+I30</f>
        <v>-2049.1383753790178</v>
      </c>
      <c r="J27" s="10"/>
      <c r="K27" s="38">
        <f t="shared" si="0"/>
        <v>-2049.1383753790178</v>
      </c>
    </row>
    <row r="28" spans="1:11" x14ac:dyDescent="0.25">
      <c r="A28" s="99" t="s">
        <v>450</v>
      </c>
      <c r="B28" s="3">
        <v>1</v>
      </c>
      <c r="C28" s="3">
        <f>2773/1000*200</f>
        <v>554.6</v>
      </c>
      <c r="D28" s="3">
        <f t="shared" si="1"/>
        <v>55.460000000000008</v>
      </c>
      <c r="E28" s="3">
        <f>0.2*1.15</f>
        <v>0.22999999999999998</v>
      </c>
      <c r="F28" s="3">
        <f>E28/$E$56*$F$56</f>
        <v>402.744087325652</v>
      </c>
      <c r="G28" s="3">
        <f t="shared" si="2"/>
        <v>557.04224802910858</v>
      </c>
      <c r="H28" s="128"/>
      <c r="I28" s="129">
        <f t="shared" si="3"/>
        <v>-557.04224802910858</v>
      </c>
      <c r="J28" s="3"/>
      <c r="K28" s="3"/>
    </row>
    <row r="29" spans="1:11" x14ac:dyDescent="0.25">
      <c r="A29" s="99" t="s">
        <v>451</v>
      </c>
      <c r="B29" s="3">
        <v>1</v>
      </c>
      <c r="C29" s="3">
        <f>3221/1000*200</f>
        <v>644.20000000000005</v>
      </c>
      <c r="D29" s="3">
        <f t="shared" si="1"/>
        <v>64.42</v>
      </c>
      <c r="E29" s="3">
        <f>0.2*1.15</f>
        <v>0.22999999999999998</v>
      </c>
      <c r="F29" s="3">
        <f>E29/$E$56*$F$56</f>
        <v>402.744087325652</v>
      </c>
      <c r="G29" s="3">
        <f t="shared" si="2"/>
        <v>611.25024802910866</v>
      </c>
      <c r="H29" s="128"/>
      <c r="I29" s="129">
        <f t="shared" si="3"/>
        <v>-611.25024802910866</v>
      </c>
      <c r="J29" s="3"/>
      <c r="K29" s="3"/>
    </row>
    <row r="30" spans="1:11" x14ac:dyDescent="0.25">
      <c r="A30" s="99" t="s">
        <v>453</v>
      </c>
      <c r="B30" s="3">
        <v>1</v>
      </c>
      <c r="C30" s="3">
        <v>1249</v>
      </c>
      <c r="D30" s="3">
        <f t="shared" si="1"/>
        <v>124.9</v>
      </c>
      <c r="E30" s="3">
        <f>0.1*1.3</f>
        <v>0.13</v>
      </c>
      <c r="F30" s="3">
        <f>E30/$E$56*$F$56</f>
        <v>227.6379624014555</v>
      </c>
      <c r="G30" s="3">
        <f t="shared" si="2"/>
        <v>880.84587932080058</v>
      </c>
      <c r="H30" s="128"/>
      <c r="I30" s="129">
        <f t="shared" si="3"/>
        <v>-880.84587932080058</v>
      </c>
      <c r="J30" s="3"/>
      <c r="K30" s="3"/>
    </row>
    <row r="31" spans="1:11" x14ac:dyDescent="0.25">
      <c r="A31" s="9" t="s">
        <v>196</v>
      </c>
      <c r="B31" s="9"/>
      <c r="C31" s="9"/>
      <c r="D31" s="85"/>
      <c r="E31" s="9"/>
      <c r="F31" s="9"/>
      <c r="G31" s="9"/>
      <c r="H31" s="128"/>
      <c r="I31" s="126">
        <f>I32+I33+I34</f>
        <v>-3529.751243177684</v>
      </c>
      <c r="J31" s="10"/>
      <c r="K31" s="38">
        <f t="shared" si="0"/>
        <v>-3529.751243177684</v>
      </c>
    </row>
    <row r="32" spans="1:11" x14ac:dyDescent="0.25">
      <c r="A32" s="99" t="s">
        <v>454</v>
      </c>
      <c r="B32" s="3">
        <v>1</v>
      </c>
      <c r="C32" s="3">
        <v>1325</v>
      </c>
      <c r="D32" s="3">
        <f t="shared" si="1"/>
        <v>132.5</v>
      </c>
      <c r="E32" s="3">
        <f>0.1*1.3</f>
        <v>0.13</v>
      </c>
      <c r="F32" s="3">
        <f>E32/$E$56*$F$56</f>
        <v>227.6379624014555</v>
      </c>
      <c r="G32" s="3">
        <f t="shared" si="2"/>
        <v>926.8258793208006</v>
      </c>
      <c r="H32" s="128"/>
      <c r="I32" s="129">
        <f t="shared" si="3"/>
        <v>-926.8258793208006</v>
      </c>
      <c r="J32" s="3"/>
      <c r="K32" s="3"/>
    </row>
    <row r="33" spans="1:11" x14ac:dyDescent="0.25">
      <c r="A33" s="99" t="s">
        <v>455</v>
      </c>
      <c r="B33" s="3">
        <v>1</v>
      </c>
      <c r="C33" s="3">
        <v>1206</v>
      </c>
      <c r="D33" s="3">
        <f t="shared" si="1"/>
        <v>120.60000000000001</v>
      </c>
      <c r="E33" s="3">
        <f>0.25*1.3</f>
        <v>0.32500000000000001</v>
      </c>
      <c r="F33" s="3">
        <f>E33/$E$56*$F$56</f>
        <v>569.0949060036387</v>
      </c>
      <c r="G33" s="3">
        <f t="shared" si="2"/>
        <v>1042.6321983020014</v>
      </c>
      <c r="H33" s="128"/>
      <c r="I33" s="129">
        <f t="shared" si="3"/>
        <v>-1042.6321983020014</v>
      </c>
      <c r="J33" s="3"/>
      <c r="K33" s="3"/>
    </row>
    <row r="34" spans="1:11" x14ac:dyDescent="0.25">
      <c r="A34" s="99" t="s">
        <v>456</v>
      </c>
      <c r="B34" s="3">
        <v>1</v>
      </c>
      <c r="C34" s="3">
        <v>1834</v>
      </c>
      <c r="D34" s="3">
        <f t="shared" si="1"/>
        <v>183.4</v>
      </c>
      <c r="E34" s="3">
        <f>0.36*1.3</f>
        <v>0.46799999999999997</v>
      </c>
      <c r="F34" s="3">
        <f>E34/$E$56*$F$56</f>
        <v>819.49666464523966</v>
      </c>
      <c r="G34" s="3">
        <f t="shared" si="2"/>
        <v>1560.2931655548821</v>
      </c>
      <c r="H34" s="128"/>
      <c r="I34" s="129">
        <f t="shared" si="3"/>
        <v>-1560.2931655548821</v>
      </c>
      <c r="J34" s="3"/>
      <c r="K34" s="3"/>
    </row>
    <row r="35" spans="1:11" x14ac:dyDescent="0.25">
      <c r="A35" s="9" t="s">
        <v>416</v>
      </c>
      <c r="B35" s="9"/>
      <c r="C35" s="9"/>
      <c r="D35" s="85"/>
      <c r="E35" s="9"/>
      <c r="F35" s="9"/>
      <c r="G35" s="9"/>
      <c r="H35" s="128"/>
      <c r="I35" s="126">
        <f>I36+I37</f>
        <v>-2706.4306276531233</v>
      </c>
      <c r="J35" s="10"/>
      <c r="K35" s="38">
        <f t="shared" si="0"/>
        <v>-2706.4306276531233</v>
      </c>
    </row>
    <row r="36" spans="1:11" x14ac:dyDescent="0.25">
      <c r="A36" s="114" t="s">
        <v>457</v>
      </c>
      <c r="B36" s="3">
        <v>1</v>
      </c>
      <c r="C36" s="3">
        <v>398</v>
      </c>
      <c r="D36" s="3">
        <f t="shared" si="1"/>
        <v>39.800000000000004</v>
      </c>
      <c r="E36" s="3">
        <f>0.04*1.3</f>
        <v>5.2000000000000005E-2</v>
      </c>
      <c r="F36" s="3">
        <f>E36/$E$56*$F$56</f>
        <v>91.05518496058221</v>
      </c>
      <c r="G36" s="3">
        <f t="shared" si="2"/>
        <v>290.87035172832026</v>
      </c>
      <c r="H36" s="128"/>
      <c r="I36" s="129">
        <f t="shared" si="3"/>
        <v>-290.87035172832026</v>
      </c>
      <c r="J36" s="3"/>
      <c r="K36" s="3"/>
    </row>
    <row r="37" spans="1:11" x14ac:dyDescent="0.25">
      <c r="A37" s="3" t="s">
        <v>458</v>
      </c>
      <c r="B37" s="3">
        <v>1</v>
      </c>
      <c r="C37" s="3">
        <v>2751</v>
      </c>
      <c r="D37" s="3">
        <f t="shared" si="1"/>
        <v>275.10000000000002</v>
      </c>
      <c r="E37" s="3">
        <f>0.6*1.3</f>
        <v>0.78</v>
      </c>
      <c r="F37" s="3">
        <f>E37/$E$56*$F$56</f>
        <v>1365.8277744087329</v>
      </c>
      <c r="G37" s="3">
        <f t="shared" si="2"/>
        <v>2415.5602759248031</v>
      </c>
      <c r="H37" s="128"/>
      <c r="I37" s="129">
        <f t="shared" si="3"/>
        <v>-2415.5602759248031</v>
      </c>
      <c r="J37" s="3"/>
      <c r="K37" s="3"/>
    </row>
    <row r="38" spans="1:11" x14ac:dyDescent="0.25">
      <c r="A38" s="9" t="s">
        <v>419</v>
      </c>
      <c r="B38" s="9"/>
      <c r="C38" s="9"/>
      <c r="D38" s="85"/>
      <c r="E38" s="9"/>
      <c r="F38" s="9"/>
      <c r="G38" s="9"/>
      <c r="H38" s="128"/>
      <c r="I38" s="126">
        <f>SUM(I39:I44)</f>
        <v>-21025.173162522744</v>
      </c>
      <c r="J38" s="10"/>
      <c r="K38" s="38">
        <f t="shared" si="0"/>
        <v>-21025.173162522744</v>
      </c>
    </row>
    <row r="39" spans="1:11" x14ac:dyDescent="0.25">
      <c r="A39" s="3" t="s">
        <v>459</v>
      </c>
      <c r="B39" s="3">
        <v>1</v>
      </c>
      <c r="C39" s="3">
        <v>14294</v>
      </c>
      <c r="D39" s="3">
        <f t="shared" si="1"/>
        <v>1429.4</v>
      </c>
      <c r="E39" s="3">
        <f>2.23*1.3</f>
        <v>2.899</v>
      </c>
      <c r="F39" s="3">
        <f>E39/$E$56*$F$56</f>
        <v>5076.326561552457</v>
      </c>
      <c r="G39" s="3">
        <f t="shared" si="2"/>
        <v>11439.849608853852</v>
      </c>
      <c r="H39" s="128"/>
      <c r="I39" s="129">
        <f t="shared" si="3"/>
        <v>-11439.849608853852</v>
      </c>
      <c r="J39" s="3"/>
      <c r="K39" s="3"/>
    </row>
    <row r="40" spans="1:11" ht="30" x14ac:dyDescent="0.25">
      <c r="A40" s="18" t="s">
        <v>460</v>
      </c>
      <c r="B40" s="3">
        <v>1</v>
      </c>
      <c r="C40" s="3">
        <v>4536</v>
      </c>
      <c r="D40" s="3">
        <f t="shared" si="1"/>
        <v>453.6</v>
      </c>
      <c r="E40" s="3">
        <f>0.6*1.3</f>
        <v>0.78</v>
      </c>
      <c r="F40" s="3">
        <f>E40/$E$56*$F$56</f>
        <v>1365.8277744087329</v>
      </c>
      <c r="G40" s="3">
        <f t="shared" si="2"/>
        <v>3495.4852759248033</v>
      </c>
      <c r="H40" s="128"/>
      <c r="I40" s="129">
        <f t="shared" si="3"/>
        <v>-3495.4852759248033</v>
      </c>
      <c r="J40" s="3"/>
      <c r="K40" s="3"/>
    </row>
    <row r="41" spans="1:11" ht="30" x14ac:dyDescent="0.25">
      <c r="A41" s="18" t="s">
        <v>461</v>
      </c>
      <c r="B41" s="3">
        <v>1</v>
      </c>
      <c r="C41" s="3">
        <v>1008</v>
      </c>
      <c r="D41" s="3">
        <f t="shared" si="1"/>
        <v>100.80000000000001</v>
      </c>
      <c r="E41" s="3">
        <f>0.25*1.3</f>
        <v>0.32500000000000001</v>
      </c>
      <c r="F41" s="3">
        <f>E41/$E$56*$F$56</f>
        <v>569.0949060036387</v>
      </c>
      <c r="G41" s="3">
        <f t="shared" si="2"/>
        <v>922.84219830200141</v>
      </c>
      <c r="H41" s="128"/>
      <c r="I41" s="129">
        <f t="shared" si="3"/>
        <v>-922.84219830200141</v>
      </c>
      <c r="J41" s="3"/>
      <c r="K41" s="3"/>
    </row>
    <row r="42" spans="1:11" x14ac:dyDescent="0.25">
      <c r="A42" s="3" t="s">
        <v>462</v>
      </c>
      <c r="B42" s="3">
        <v>1</v>
      </c>
      <c r="C42" s="3">
        <v>2359</v>
      </c>
      <c r="D42" s="3">
        <f t="shared" si="1"/>
        <v>235.9</v>
      </c>
      <c r="E42" s="3">
        <f>0.6*1.3</f>
        <v>0.78</v>
      </c>
      <c r="F42" s="3">
        <f>E42/$E$56*$F$56</f>
        <v>1365.8277744087329</v>
      </c>
      <c r="G42" s="3">
        <f t="shared" si="2"/>
        <v>2178.4002759248033</v>
      </c>
      <c r="H42" s="128"/>
      <c r="I42" s="129">
        <f t="shared" si="3"/>
        <v>-2178.4002759248033</v>
      </c>
      <c r="J42" s="3"/>
      <c r="K42" s="3"/>
    </row>
    <row r="43" spans="1:11" x14ac:dyDescent="0.25">
      <c r="A43" s="3" t="s">
        <v>463</v>
      </c>
      <c r="B43" s="3">
        <v>1</v>
      </c>
      <c r="C43" s="3">
        <v>2359</v>
      </c>
      <c r="D43" s="3">
        <f t="shared" si="1"/>
        <v>235.9</v>
      </c>
      <c r="E43" s="3">
        <f>0.6*1.3</f>
        <v>0.78</v>
      </c>
      <c r="F43" s="3">
        <f>E43/$E$56*$F$56</f>
        <v>1365.8277744087329</v>
      </c>
      <c r="G43" s="3">
        <f t="shared" si="2"/>
        <v>2178.4002759248033</v>
      </c>
      <c r="H43" s="128"/>
      <c r="I43" s="129">
        <f t="shared" si="3"/>
        <v>-2178.4002759248033</v>
      </c>
      <c r="J43" s="3"/>
      <c r="K43" s="3"/>
    </row>
    <row r="44" spans="1:11" x14ac:dyDescent="0.25">
      <c r="A44" s="99" t="s">
        <v>464</v>
      </c>
      <c r="B44" s="3">
        <v>1</v>
      </c>
      <c r="C44" s="3">
        <v>1215</v>
      </c>
      <c r="D44" s="3">
        <f t="shared" si="1"/>
        <v>121.5</v>
      </c>
      <c r="E44" s="3">
        <f>0.06*1.3</f>
        <v>7.8E-2</v>
      </c>
      <c r="F44" s="3">
        <f>E44/$E$56*$F$56</f>
        <v>136.58277744087329</v>
      </c>
      <c r="G44" s="3">
        <f t="shared" si="2"/>
        <v>810.1955275924804</v>
      </c>
      <c r="H44" s="128"/>
      <c r="I44" s="129">
        <f t="shared" si="3"/>
        <v>-810.1955275924804</v>
      </c>
      <c r="J44" s="3"/>
      <c r="K44" s="3"/>
    </row>
    <row r="45" spans="1:11" x14ac:dyDescent="0.25">
      <c r="A45" s="9" t="s">
        <v>465</v>
      </c>
      <c r="B45" s="9"/>
      <c r="C45" s="9"/>
      <c r="D45" s="85"/>
      <c r="E45" s="9"/>
      <c r="F45" s="9"/>
      <c r="G45" s="9"/>
      <c r="H45" s="128"/>
      <c r="I45" s="126">
        <f>I46</f>
        <v>-922.84219830200141</v>
      </c>
      <c r="J45" s="10"/>
      <c r="K45" s="38">
        <f t="shared" si="0"/>
        <v>-922.84219830200141</v>
      </c>
    </row>
    <row r="46" spans="1:11" x14ac:dyDescent="0.25">
      <c r="A46" s="99" t="s">
        <v>466</v>
      </c>
      <c r="B46" s="3">
        <v>1</v>
      </c>
      <c r="C46" s="3">
        <v>1008</v>
      </c>
      <c r="D46" s="3">
        <f t="shared" si="1"/>
        <v>100.80000000000001</v>
      </c>
      <c r="E46" s="3">
        <f>0.25*1.3</f>
        <v>0.32500000000000001</v>
      </c>
      <c r="F46" s="3">
        <f>E46/$E$56*$F$56</f>
        <v>569.0949060036387</v>
      </c>
      <c r="G46" s="3">
        <f t="shared" si="2"/>
        <v>922.84219830200141</v>
      </c>
      <c r="H46" s="128"/>
      <c r="I46" s="129">
        <f t="shared" si="3"/>
        <v>-922.84219830200141</v>
      </c>
      <c r="J46" s="3"/>
      <c r="K46" s="3"/>
    </row>
    <row r="47" spans="1:11" x14ac:dyDescent="0.25">
      <c r="A47" s="9" t="s">
        <v>467</v>
      </c>
      <c r="B47" s="9"/>
      <c r="C47" s="9"/>
      <c r="D47" s="85"/>
      <c r="E47" s="9"/>
      <c r="F47" s="9"/>
      <c r="G47" s="9"/>
      <c r="H47" s="128"/>
      <c r="I47" s="126">
        <f>SUM(I48:I50)</f>
        <v>-2077.9776137052763</v>
      </c>
      <c r="J47" s="10"/>
      <c r="K47" s="38">
        <f t="shared" si="0"/>
        <v>-2077.9776137052763</v>
      </c>
    </row>
    <row r="48" spans="1:11" x14ac:dyDescent="0.25">
      <c r="A48" s="99" t="s">
        <v>468</v>
      </c>
      <c r="B48" s="3">
        <v>1</v>
      </c>
      <c r="C48" s="3">
        <v>983</v>
      </c>
      <c r="D48" s="3">
        <f t="shared" si="1"/>
        <v>98.300000000000011</v>
      </c>
      <c r="E48" s="3">
        <f>0.14*1.3</f>
        <v>0.18200000000000002</v>
      </c>
      <c r="F48" s="3">
        <f>E48/$E$56*$F$56</f>
        <v>318.69314736203773</v>
      </c>
      <c r="G48" s="3">
        <f t="shared" si="2"/>
        <v>769.99623104912098</v>
      </c>
      <c r="H48" s="128"/>
      <c r="I48" s="129">
        <f t="shared" si="3"/>
        <v>-769.99623104912098</v>
      </c>
      <c r="J48" s="3"/>
      <c r="K48" s="3"/>
    </row>
    <row r="49" spans="1:11" x14ac:dyDescent="0.25">
      <c r="A49" s="99" t="s">
        <v>469</v>
      </c>
      <c r="B49" s="3">
        <v>1</v>
      </c>
      <c r="C49" s="3">
        <v>1215</v>
      </c>
      <c r="D49" s="3">
        <f t="shared" si="1"/>
        <v>121.5</v>
      </c>
      <c r="E49" s="3">
        <f>0.2*1.3</f>
        <v>0.26</v>
      </c>
      <c r="F49" s="3">
        <f>E49/$E$56*$F$56</f>
        <v>455.27592480291099</v>
      </c>
      <c r="G49" s="3">
        <f t="shared" si="2"/>
        <v>985.47675864160112</v>
      </c>
      <c r="H49" s="128"/>
      <c r="I49" s="129">
        <f t="shared" si="3"/>
        <v>-985.47675864160112</v>
      </c>
      <c r="J49" s="3"/>
      <c r="K49" s="3"/>
    </row>
    <row r="50" spans="1:11" x14ac:dyDescent="0.25">
      <c r="A50" s="99" t="s">
        <v>470</v>
      </c>
      <c r="B50" s="3">
        <v>5</v>
      </c>
      <c r="C50" s="3">
        <v>70</v>
      </c>
      <c r="D50" s="3">
        <f t="shared" si="1"/>
        <v>35</v>
      </c>
      <c r="E50" s="3">
        <f>0.02*B50*1.15</f>
        <v>0.11499999999999999</v>
      </c>
      <c r="F50" s="3">
        <f>E50/$E$56*$F$56</f>
        <v>201.372043662826</v>
      </c>
      <c r="G50" s="3">
        <f t="shared" si="2"/>
        <v>322.50462401455434</v>
      </c>
      <c r="H50" s="128"/>
      <c r="I50" s="129">
        <f t="shared" si="3"/>
        <v>-322.50462401455434</v>
      </c>
      <c r="J50" s="3"/>
      <c r="K50" s="3"/>
    </row>
    <row r="51" spans="1:11" x14ac:dyDescent="0.25">
      <c r="A51" s="9" t="s">
        <v>397</v>
      </c>
      <c r="B51" s="9"/>
      <c r="C51" s="9"/>
      <c r="D51" s="85"/>
      <c r="E51" s="9"/>
      <c r="F51" s="9"/>
      <c r="G51" s="9"/>
      <c r="H51" s="128"/>
      <c r="I51" s="126">
        <f>SUM(I52:I55)</f>
        <v>-4644.7470548817473</v>
      </c>
      <c r="J51" s="10"/>
      <c r="K51" s="38">
        <f t="shared" si="0"/>
        <v>-4644.7470548817473</v>
      </c>
    </row>
    <row r="52" spans="1:11" x14ac:dyDescent="0.25">
      <c r="A52" s="99" t="s">
        <v>472</v>
      </c>
      <c r="B52" s="3">
        <v>1</v>
      </c>
      <c r="C52" s="3">
        <v>1112</v>
      </c>
      <c r="D52" s="3">
        <f t="shared" si="1"/>
        <v>111.2</v>
      </c>
      <c r="E52" s="3">
        <f>0.3*1.3</f>
        <v>0.39</v>
      </c>
      <c r="F52" s="3">
        <f>E52/$E$56*$F$56</f>
        <v>682.91388720436646</v>
      </c>
      <c r="G52" s="3">
        <f t="shared" si="2"/>
        <v>1048.3626379624015</v>
      </c>
      <c r="H52" s="128"/>
      <c r="I52" s="129">
        <f t="shared" si="3"/>
        <v>-1048.3626379624015</v>
      </c>
      <c r="J52" s="3"/>
      <c r="K52" s="3"/>
    </row>
    <row r="53" spans="1:11" x14ac:dyDescent="0.25">
      <c r="A53" s="99" t="s">
        <v>473</v>
      </c>
      <c r="B53" s="3">
        <v>2</v>
      </c>
      <c r="C53" s="3">
        <v>1131</v>
      </c>
      <c r="D53" s="3">
        <f t="shared" si="1"/>
        <v>226.20000000000002</v>
      </c>
      <c r="E53" s="3">
        <f>0.2*B53*1.3</f>
        <v>0.52</v>
      </c>
      <c r="F53" s="3">
        <f>E53/$E$56*$F$56</f>
        <v>910.55184960582199</v>
      </c>
      <c r="G53" s="3">
        <f t="shared" si="2"/>
        <v>1869.3135172832024</v>
      </c>
      <c r="H53" s="128"/>
      <c r="I53" s="129">
        <f t="shared" si="3"/>
        <v>-1869.3135172832024</v>
      </c>
      <c r="J53" s="3"/>
      <c r="K53" s="3"/>
    </row>
    <row r="54" spans="1:11" x14ac:dyDescent="0.25">
      <c r="A54" s="99" t="s">
        <v>464</v>
      </c>
      <c r="B54" s="3">
        <v>1</v>
      </c>
      <c r="C54" s="3">
        <v>1215</v>
      </c>
      <c r="D54" s="3">
        <f t="shared" si="1"/>
        <v>121.5</v>
      </c>
      <c r="E54" s="3">
        <f>0.06*1.3</f>
        <v>7.8E-2</v>
      </c>
      <c r="F54" s="3">
        <f>E54/$E$56*$F$56</f>
        <v>136.58277744087329</v>
      </c>
      <c r="G54" s="3">
        <f t="shared" si="2"/>
        <v>810.1955275924804</v>
      </c>
      <c r="H54" s="128"/>
      <c r="I54" s="129">
        <f t="shared" si="3"/>
        <v>-810.1955275924804</v>
      </c>
      <c r="J54" s="3"/>
      <c r="K54" s="3"/>
    </row>
    <row r="55" spans="1:11" x14ac:dyDescent="0.25">
      <c r="A55" s="99" t="s">
        <v>438</v>
      </c>
      <c r="B55" s="3">
        <v>1</v>
      </c>
      <c r="C55" s="3">
        <f>3221/1000*300</f>
        <v>966.30000000000007</v>
      </c>
      <c r="D55" s="3">
        <f t="shared" si="1"/>
        <v>96.63000000000001</v>
      </c>
      <c r="E55" s="3">
        <f>0.3*1.15</f>
        <v>0.34499999999999997</v>
      </c>
      <c r="F55" s="3">
        <f>E55/$E$56*$F$56</f>
        <v>604.11613098847795</v>
      </c>
      <c r="G55" s="3">
        <f t="shared" si="2"/>
        <v>916.87537204366299</v>
      </c>
      <c r="H55" s="128"/>
      <c r="I55" s="129">
        <f t="shared" si="3"/>
        <v>-916.87537204366299</v>
      </c>
      <c r="J55" s="3"/>
      <c r="K55" s="3"/>
    </row>
    <row r="56" spans="1:11" x14ac:dyDescent="0.25">
      <c r="A56" s="27"/>
      <c r="B56" s="28"/>
      <c r="C56" s="28"/>
      <c r="D56" s="28"/>
      <c r="E56" s="100">
        <f>SUM(E14:E55)</f>
        <v>13.191999999999997</v>
      </c>
      <c r="F56" s="95">
        <v>23100</v>
      </c>
      <c r="G56" s="28">
        <f>F56/E56</f>
        <v>1751.0612492419652</v>
      </c>
      <c r="H56" s="128"/>
      <c r="I56" s="127"/>
      <c r="J56" s="28"/>
      <c r="K56" s="28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2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3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3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3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3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3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3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3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3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3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3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3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3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3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3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3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3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3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3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3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3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3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3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3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3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3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3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3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3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3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3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3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3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3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3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3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3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3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3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3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3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3"/>
      <c r="I45" s="43"/>
      <c r="J45" s="38"/>
      <c r="K45" s="38"/>
    </row>
    <row r="46" spans="1:12" x14ac:dyDescent="0.2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3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3"/>
      <c r="I47" s="28"/>
      <c r="J47" s="28"/>
      <c r="K47" s="28"/>
    </row>
    <row r="49" spans="1:5" ht="58.9" customHeight="1" x14ac:dyDescent="0.25">
      <c r="A49" s="121" t="s">
        <v>64</v>
      </c>
      <c r="B49" s="122"/>
      <c r="C49" s="122"/>
      <c r="D49" s="122"/>
      <c r="E49" s="122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2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3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3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3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3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3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3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3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3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3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3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3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3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3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3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3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3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3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3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3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3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3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3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3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3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3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3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3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3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3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3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3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3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3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3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3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3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3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3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3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3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3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3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3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3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3"/>
      <c r="I48" s="42"/>
      <c r="J48" s="38"/>
      <c r="K48" s="38"/>
    </row>
    <row r="49" spans="1:11" x14ac:dyDescent="0.2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3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3"/>
      <c r="I50" s="28"/>
      <c r="J50" s="28"/>
      <c r="K50" s="28"/>
    </row>
    <row r="52" spans="1:11" ht="52.5" customHeight="1" x14ac:dyDescent="0.25">
      <c r="A52" s="121" t="s">
        <v>64</v>
      </c>
      <c r="B52" s="122"/>
      <c r="C52" s="122"/>
      <c r="D52" s="122"/>
      <c r="E52" s="122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4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5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3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3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3"/>
      <c r="I9" s="34">
        <f t="shared" ref="I9:I11" si="3"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3"/>
      <c r="I10" s="34">
        <f t="shared" si="3"/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3"/>
      <c r="I11" s="34">
        <f t="shared" si="3"/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3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3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3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3"/>
      <c r="I15" s="34">
        <f>H15-G15</f>
        <v>-1968.7679574238746</v>
      </c>
      <c r="J15" s="39"/>
      <c r="K15" s="40"/>
    </row>
    <row r="16" spans="1:11" x14ac:dyDescent="0.25">
      <c r="A16" s="77" t="s">
        <v>167</v>
      </c>
      <c r="B16" s="78">
        <v>1</v>
      </c>
      <c r="C16" s="78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3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3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3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6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3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3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3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3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3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3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3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3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3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3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3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3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3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3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3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3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5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3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3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3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3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3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3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3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3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3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3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3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3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3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3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3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3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3"/>
      <c r="I53" s="42">
        <f>SUM(I54:I54)</f>
        <v>-206.21918889787119</v>
      </c>
      <c r="J53" s="38">
        <v>477</v>
      </c>
      <c r="K53" s="38">
        <f>J53+I53-271</f>
        <v>-0.21918889787116314</v>
      </c>
      <c r="L53" s="80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3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3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3"/>
      <c r="I56" s="34">
        <f t="shared" ref="I56:I61" si="24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3"/>
      <c r="I57" s="34">
        <f t="shared" si="24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3"/>
      <c r="I58" s="34">
        <f t="shared" si="24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3"/>
      <c r="I59" s="34">
        <f t="shared" si="24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3"/>
      <c r="I60" s="34">
        <f t="shared" si="24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3"/>
      <c r="I61" s="34">
        <f t="shared" si="24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3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3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3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3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3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3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3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3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3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3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3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3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3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79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3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3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3"/>
      <c r="I77" s="42"/>
      <c r="J77" s="38"/>
      <c r="K77" s="38"/>
    </row>
    <row r="78" spans="1:12" x14ac:dyDescent="0.2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3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3"/>
      <c r="I79" s="28"/>
      <c r="J79" s="28"/>
      <c r="K79" s="28"/>
    </row>
    <row r="81" spans="1:5" ht="53.25" customHeight="1" x14ac:dyDescent="0.25">
      <c r="A81" s="121" t="s">
        <v>64</v>
      </c>
      <c r="B81" s="122"/>
      <c r="C81" s="122"/>
      <c r="D81" s="122"/>
      <c r="E81" s="122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2" x14ac:dyDescent="0.25">
      <c r="A4" s="90" t="s">
        <v>177</v>
      </c>
      <c r="B4" s="9"/>
      <c r="C4" s="9"/>
      <c r="D4" s="10"/>
      <c r="E4" s="10"/>
      <c r="F4" s="10"/>
      <c r="G4" s="10"/>
      <c r="H4" s="73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25">
      <c r="A5" s="91" t="s">
        <v>178</v>
      </c>
      <c r="B5" s="83">
        <v>1</v>
      </c>
      <c r="C5" s="83">
        <v>1700</v>
      </c>
      <c r="D5" s="81">
        <f>B5*C5*0.1</f>
        <v>170</v>
      </c>
      <c r="E5" s="83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3"/>
      <c r="I5" s="34">
        <f>H5-G5</f>
        <v>-979.27066315693924</v>
      </c>
      <c r="J5" s="39"/>
      <c r="K5" s="40"/>
    </row>
    <row r="6" spans="1:12" x14ac:dyDescent="0.25">
      <c r="A6" s="91" t="s">
        <v>179</v>
      </c>
      <c r="B6" s="83">
        <v>1</v>
      </c>
      <c r="C6" s="83">
        <v>3265</v>
      </c>
      <c r="D6" s="81">
        <f t="shared" ref="D6:D26" si="1">B6*C6*0.1</f>
        <v>326.5</v>
      </c>
      <c r="E6" s="83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3"/>
      <c r="I6" s="34">
        <f t="shared" ref="I6" si="3">H6-G6</f>
        <v>-2046.6424517745299</v>
      </c>
      <c r="J6" s="39"/>
      <c r="K6" s="40"/>
    </row>
    <row r="7" spans="1:12" x14ac:dyDescent="0.25">
      <c r="A7" s="88" t="s">
        <v>180</v>
      </c>
      <c r="B7" s="84"/>
      <c r="C7" s="84"/>
      <c r="D7" s="85"/>
      <c r="E7" s="84"/>
      <c r="F7" s="10"/>
      <c r="G7" s="10"/>
      <c r="H7" s="73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1" t="s">
        <v>159</v>
      </c>
      <c r="B8" s="83">
        <v>1</v>
      </c>
      <c r="C8" s="83">
        <v>664</v>
      </c>
      <c r="D8" s="82">
        <f t="shared" ref="D8" si="4">B8*C8*0.1</f>
        <v>66.400000000000006</v>
      </c>
      <c r="E8" s="83">
        <f>0.2*1.3</f>
        <v>0.26</v>
      </c>
      <c r="F8" s="30">
        <f>E8/$E$41*$F$41</f>
        <v>479.07778887174373</v>
      </c>
      <c r="G8" s="30">
        <f t="shared" si="2"/>
        <v>433.47683953163289</v>
      </c>
      <c r="H8" s="73"/>
      <c r="I8" s="34">
        <f>H8-G8</f>
        <v>-433.47683953163289</v>
      </c>
      <c r="J8" s="39"/>
      <c r="K8" s="40"/>
    </row>
    <row r="9" spans="1:12" x14ac:dyDescent="0.25">
      <c r="A9" s="88" t="s">
        <v>70</v>
      </c>
      <c r="B9" s="84"/>
      <c r="C9" s="84"/>
      <c r="D9" s="85"/>
      <c r="E9" s="84"/>
      <c r="F9" s="10"/>
      <c r="G9" s="10"/>
      <c r="H9" s="73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1" t="s">
        <v>181</v>
      </c>
      <c r="B10" s="83">
        <v>1</v>
      </c>
      <c r="C10" s="83">
        <v>935</v>
      </c>
      <c r="D10" s="82">
        <f>B10*C10*0.1</f>
        <v>93.5</v>
      </c>
      <c r="E10" s="83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3"/>
      <c r="I10" s="34">
        <f t="shared" ref="I10:I20" si="7">H10-G10</f>
        <v>-497.39050964872467</v>
      </c>
      <c r="J10" s="39"/>
      <c r="K10" s="40"/>
    </row>
    <row r="11" spans="1:12" ht="26.25" x14ac:dyDescent="0.25">
      <c r="A11" s="91" t="s">
        <v>182</v>
      </c>
      <c r="B11" s="83">
        <v>1</v>
      </c>
      <c r="C11" s="83">
        <v>1157</v>
      </c>
      <c r="D11" s="82">
        <f>B11*C11*0.1</f>
        <v>115.7</v>
      </c>
      <c r="E11" s="83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3"/>
      <c r="I11" s="34">
        <f t="shared" si="7"/>
        <v>-713.68789929744935</v>
      </c>
      <c r="J11" s="39"/>
      <c r="K11" s="40"/>
    </row>
    <row r="12" spans="1:12" ht="26.25" x14ac:dyDescent="0.25">
      <c r="A12" s="91" t="s">
        <v>183</v>
      </c>
      <c r="B12" s="86">
        <v>2</v>
      </c>
      <c r="C12" s="83">
        <v>1385</v>
      </c>
      <c r="D12" s="82">
        <f>C12*0.1</f>
        <v>138.5</v>
      </c>
      <c r="E12" s="83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3"/>
      <c r="I12" s="34">
        <f t="shared" si="7"/>
        <v>-1263.746279531633</v>
      </c>
      <c r="J12" s="39"/>
      <c r="K12" s="40"/>
    </row>
    <row r="13" spans="1:12" ht="26.25" x14ac:dyDescent="0.25">
      <c r="A13" s="91" t="s">
        <v>184</v>
      </c>
      <c r="B13" s="83">
        <v>1</v>
      </c>
      <c r="C13" s="83">
        <v>1276</v>
      </c>
      <c r="D13" s="82">
        <f>B13*C13*0.1</f>
        <v>127.60000000000001</v>
      </c>
      <c r="E13" s="83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3"/>
      <c r="I13" s="34">
        <f t="shared" si="7"/>
        <v>-631.82634964872477</v>
      </c>
      <c r="J13" s="39"/>
      <c r="K13" s="40"/>
    </row>
    <row r="14" spans="1:12" ht="26.25" x14ac:dyDescent="0.25">
      <c r="A14" s="91" t="s">
        <v>185</v>
      </c>
      <c r="B14" s="83">
        <v>1</v>
      </c>
      <c r="C14" s="83">
        <v>975</v>
      </c>
      <c r="D14" s="82">
        <f>C14*0.1</f>
        <v>97.5</v>
      </c>
      <c r="E14" s="83">
        <f>0.3*1.3</f>
        <v>0.39</v>
      </c>
      <c r="F14" s="30">
        <f t="shared" si="5"/>
        <v>718.61668330761563</v>
      </c>
      <c r="G14" s="30">
        <f t="shared" si="8"/>
        <v>641.9362192974495</v>
      </c>
      <c r="H14" s="73"/>
      <c r="I14" s="34">
        <f t="shared" si="7"/>
        <v>-641.9362192974495</v>
      </c>
      <c r="J14" s="39"/>
      <c r="K14" s="40"/>
    </row>
    <row r="15" spans="1:12" ht="39" x14ac:dyDescent="0.25">
      <c r="A15" s="91" t="s">
        <v>186</v>
      </c>
      <c r="B15" s="83">
        <v>1</v>
      </c>
      <c r="C15" s="83">
        <v>835</v>
      </c>
      <c r="D15" s="82">
        <f>B15*C15*0.1</f>
        <v>83.5</v>
      </c>
      <c r="E15" s="83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3"/>
      <c r="I15" s="34">
        <f t="shared" si="7"/>
        <v>-449.38143567214308</v>
      </c>
      <c r="J15" s="39"/>
      <c r="K15" s="40"/>
    </row>
    <row r="16" spans="1:12" ht="26.25" x14ac:dyDescent="0.25">
      <c r="A16" s="91" t="s">
        <v>187</v>
      </c>
      <c r="B16" s="83">
        <v>1</v>
      </c>
      <c r="C16" s="83">
        <v>672</v>
      </c>
      <c r="D16" s="82">
        <f>C16*0.1</f>
        <v>67.2</v>
      </c>
      <c r="E16" s="83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3"/>
      <c r="I16" s="34">
        <f t="shared" si="7"/>
        <v>-436.63075953163298</v>
      </c>
      <c r="J16" s="39"/>
      <c r="K16" s="40"/>
    </row>
    <row r="17" spans="1:11" ht="26.25" x14ac:dyDescent="0.25">
      <c r="A17" s="91" t="s">
        <v>188</v>
      </c>
      <c r="B17" s="83">
        <v>1</v>
      </c>
      <c r="C17" s="83">
        <v>670</v>
      </c>
      <c r="D17" s="82">
        <f>B17*C17*0.1</f>
        <v>67</v>
      </c>
      <c r="E17" s="83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3"/>
      <c r="I17" s="34">
        <f t="shared" si="7"/>
        <v>-435.84227953163293</v>
      </c>
      <c r="J17" s="39"/>
      <c r="K17" s="40"/>
    </row>
    <row r="18" spans="1:11" ht="39" x14ac:dyDescent="0.25">
      <c r="A18" s="91" t="s">
        <v>189</v>
      </c>
      <c r="B18" s="83">
        <v>1</v>
      </c>
      <c r="C18" s="83">
        <v>1290</v>
      </c>
      <c r="D18" s="82">
        <f>C18*0.1</f>
        <v>129</v>
      </c>
      <c r="E18" s="83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3"/>
      <c r="I18" s="34">
        <f t="shared" si="7"/>
        <v>-637.34570964872478</v>
      </c>
      <c r="J18" s="39"/>
      <c r="K18" s="40"/>
    </row>
    <row r="19" spans="1:11" ht="26.25" x14ac:dyDescent="0.25">
      <c r="A19" s="91" t="s">
        <v>190</v>
      </c>
      <c r="B19" s="83">
        <v>1</v>
      </c>
      <c r="C19" s="83">
        <v>1303</v>
      </c>
      <c r="D19" s="82">
        <f>B19*C19*0.1</f>
        <v>130.30000000000001</v>
      </c>
      <c r="E19" s="83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3"/>
      <c r="I19" s="34">
        <f t="shared" si="7"/>
        <v>-642.4708296487247</v>
      </c>
      <c r="J19" s="39"/>
      <c r="K19" s="40"/>
    </row>
    <row r="20" spans="1:11" ht="26.25" x14ac:dyDescent="0.25">
      <c r="A20" s="91" t="s">
        <v>191</v>
      </c>
      <c r="B20" s="83">
        <v>1</v>
      </c>
      <c r="C20" s="83">
        <v>1290</v>
      </c>
      <c r="D20" s="82">
        <f>B20*C20*0.1</f>
        <v>129</v>
      </c>
      <c r="E20" s="83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3"/>
      <c r="I20" s="34">
        <f t="shared" si="7"/>
        <v>-637.34570964872478</v>
      </c>
      <c r="J20" s="39"/>
      <c r="K20" s="40"/>
    </row>
    <row r="21" spans="1:11" x14ac:dyDescent="0.25">
      <c r="A21" s="88" t="s">
        <v>192</v>
      </c>
      <c r="B21" s="84"/>
      <c r="C21" s="84"/>
      <c r="D21" s="85"/>
      <c r="E21" s="84"/>
      <c r="F21" s="10"/>
      <c r="G21" s="10"/>
      <c r="H21" s="73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1" t="s">
        <v>193</v>
      </c>
      <c r="B22" s="83">
        <v>1</v>
      </c>
      <c r="C22" s="83">
        <v>2344</v>
      </c>
      <c r="D22" s="82">
        <f>B22*C22*0.1</f>
        <v>234.4</v>
      </c>
      <c r="E22" s="83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3"/>
      <c r="I22" s="34">
        <f>H22-G22</f>
        <v>-1765.4358097050012</v>
      </c>
      <c r="J22" s="39"/>
      <c r="K22" s="40"/>
    </row>
    <row r="23" spans="1:11" ht="26.25" x14ac:dyDescent="0.25">
      <c r="A23" s="91" t="s">
        <v>194</v>
      </c>
      <c r="B23" s="83">
        <v>1</v>
      </c>
      <c r="C23" s="83">
        <v>1659</v>
      </c>
      <c r="D23" s="82">
        <f>B23*C23*0.1</f>
        <v>165.9</v>
      </c>
      <c r="E23" s="83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3"/>
      <c r="I23" s="34">
        <f>H23-G23</f>
        <v>-1272.1694863138787</v>
      </c>
      <c r="J23" s="39"/>
      <c r="K23" s="40"/>
    </row>
    <row r="24" spans="1:11" x14ac:dyDescent="0.25">
      <c r="A24" s="88" t="s">
        <v>146</v>
      </c>
      <c r="B24" s="84"/>
      <c r="C24" s="84"/>
      <c r="D24" s="85"/>
      <c r="E24" s="84"/>
      <c r="F24" s="10"/>
      <c r="G24" s="10"/>
      <c r="H24" s="73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51.75" x14ac:dyDescent="0.25">
      <c r="A25" s="91" t="s">
        <v>207</v>
      </c>
      <c r="B25" s="83">
        <v>1</v>
      </c>
      <c r="C25" s="83">
        <v>2411</v>
      </c>
      <c r="D25" s="82">
        <f t="shared" ref="D25" si="12">B25*C25*0.1</f>
        <v>241.10000000000002</v>
      </c>
      <c r="E25" s="83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3"/>
      <c r="I25" s="34">
        <f>H25-G25</f>
        <v>-1465.6170785948989</v>
      </c>
      <c r="J25" s="39"/>
      <c r="K25" s="40"/>
    </row>
    <row r="26" spans="1:11" ht="26.25" x14ac:dyDescent="0.25">
      <c r="A26" s="91" t="s">
        <v>195</v>
      </c>
      <c r="B26" s="83">
        <v>1</v>
      </c>
      <c r="C26" s="83">
        <v>1901</v>
      </c>
      <c r="D26" s="81">
        <f t="shared" si="1"/>
        <v>190.10000000000002</v>
      </c>
      <c r="E26" s="83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3"/>
      <c r="I26" s="34">
        <f>H26-G26</f>
        <v>-1213.044234735409</v>
      </c>
      <c r="J26" s="39"/>
      <c r="K26" s="40"/>
    </row>
    <row r="27" spans="1:11" x14ac:dyDescent="0.25">
      <c r="A27" s="88" t="s">
        <v>196</v>
      </c>
      <c r="B27" s="84"/>
      <c r="C27" s="84"/>
      <c r="D27" s="85"/>
      <c r="E27" s="84"/>
      <c r="F27" s="10"/>
      <c r="G27" s="10"/>
      <c r="H27" s="73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25">
      <c r="A28" s="91" t="s">
        <v>197</v>
      </c>
      <c r="B28" s="83">
        <v>1</v>
      </c>
      <c r="C28" s="83">
        <v>670</v>
      </c>
      <c r="D28" s="82">
        <f t="shared" ref="D28:D30" si="13">B28*C28*0.1</f>
        <v>67</v>
      </c>
      <c r="E28" s="83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3"/>
      <c r="I28" s="34">
        <f>H28-G28</f>
        <v>-435.84227953163293</v>
      </c>
      <c r="J28" s="39"/>
      <c r="K28" s="40"/>
    </row>
    <row r="29" spans="1:11" x14ac:dyDescent="0.25">
      <c r="A29" s="91" t="s">
        <v>198</v>
      </c>
      <c r="B29" s="83">
        <v>1</v>
      </c>
      <c r="C29" s="83">
        <v>685</v>
      </c>
      <c r="D29" s="81">
        <f t="shared" si="13"/>
        <v>68.5</v>
      </c>
      <c r="E29" s="83">
        <f>0.2*1.3</f>
        <v>0.26</v>
      </c>
      <c r="F29" s="30">
        <f>E29/$E$41*$F$41</f>
        <v>479.07778887174373</v>
      </c>
      <c r="G29" s="30">
        <f t="shared" si="2"/>
        <v>441.7558795316329</v>
      </c>
      <c r="H29" s="73"/>
      <c r="I29" s="34">
        <f>H29-G29</f>
        <v>-441.7558795316329</v>
      </c>
      <c r="J29" s="39"/>
      <c r="K29" s="40"/>
    </row>
    <row r="30" spans="1:11" ht="26.25" x14ac:dyDescent="0.25">
      <c r="A30" s="91" t="s">
        <v>199</v>
      </c>
      <c r="B30" s="83">
        <v>1</v>
      </c>
      <c r="C30" s="83">
        <v>1146</v>
      </c>
      <c r="D30" s="81">
        <f t="shared" si="13"/>
        <v>114.60000000000001</v>
      </c>
      <c r="E30" s="83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3"/>
      <c r="I30" s="34">
        <f>H30-G30</f>
        <v>-666.42588941454119</v>
      </c>
      <c r="J30" s="39"/>
      <c r="K30" s="40"/>
    </row>
    <row r="31" spans="1:11" x14ac:dyDescent="0.25">
      <c r="A31" s="88" t="s">
        <v>114</v>
      </c>
      <c r="B31" s="84"/>
      <c r="C31" s="84"/>
      <c r="D31" s="85"/>
      <c r="E31" s="84"/>
      <c r="F31" s="10"/>
      <c r="G31" s="10"/>
      <c r="H31" s="73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1" t="s">
        <v>200</v>
      </c>
      <c r="B32" s="83">
        <v>1</v>
      </c>
      <c r="C32" s="83">
        <v>1601</v>
      </c>
      <c r="D32" s="82">
        <f t="shared" ref="D32" si="14">B32*C32*0.1</f>
        <v>160.10000000000002</v>
      </c>
      <c r="E32" s="83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3"/>
      <c r="I32" s="34">
        <f>H32-G32</f>
        <v>-1146.2826785948989</v>
      </c>
      <c r="J32" s="39"/>
      <c r="K32" s="40"/>
    </row>
    <row r="33" spans="1:11" x14ac:dyDescent="0.25">
      <c r="A33" s="88" t="s">
        <v>201</v>
      </c>
      <c r="B33" s="84"/>
      <c r="C33" s="84"/>
      <c r="D33" s="85"/>
      <c r="E33" s="84"/>
      <c r="F33" s="10"/>
      <c r="G33" s="10"/>
      <c r="H33" s="73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1" t="s">
        <v>202</v>
      </c>
      <c r="B34" s="83">
        <v>1</v>
      </c>
      <c r="C34" s="83">
        <v>1112</v>
      </c>
      <c r="D34" s="82">
        <f t="shared" ref="D34:D35" si="16">B34*C34*0.1</f>
        <v>111.2</v>
      </c>
      <c r="E34" s="83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3"/>
      <c r="I34" s="34">
        <f>H34-G34</f>
        <v>-610.09635953163297</v>
      </c>
      <c r="J34" s="39"/>
      <c r="K34" s="40"/>
    </row>
    <row r="35" spans="1:11" x14ac:dyDescent="0.25">
      <c r="A35" s="91" t="s">
        <v>203</v>
      </c>
      <c r="B35" s="83">
        <v>1</v>
      </c>
      <c r="C35" s="83">
        <v>1101</v>
      </c>
      <c r="D35" s="81">
        <f t="shared" si="16"/>
        <v>110.10000000000001</v>
      </c>
      <c r="E35" s="83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3"/>
      <c r="I35" s="34">
        <f>H35-G35</f>
        <v>-605.75971953163287</v>
      </c>
      <c r="J35" s="39"/>
      <c r="K35" s="40"/>
    </row>
    <row r="36" spans="1:11" x14ac:dyDescent="0.25">
      <c r="A36" s="88" t="s">
        <v>143</v>
      </c>
      <c r="B36" s="84"/>
      <c r="C36" s="84"/>
      <c r="D36" s="85"/>
      <c r="E36" s="84"/>
      <c r="F36" s="10"/>
      <c r="G36" s="10"/>
      <c r="H36" s="73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1" t="s">
        <v>204</v>
      </c>
      <c r="B37" s="83">
        <v>1</v>
      </c>
      <c r="C37" s="83">
        <v>935</v>
      </c>
      <c r="D37" s="82">
        <f t="shared" ref="D37:D38" si="17">B37*C37*0.1</f>
        <v>93.5</v>
      </c>
      <c r="E37" s="83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3"/>
      <c r="I37" s="34">
        <f>H37-G37</f>
        <v>-497.39050964872467</v>
      </c>
      <c r="J37" s="39"/>
      <c r="K37" s="40"/>
    </row>
    <row r="38" spans="1:11" x14ac:dyDescent="0.25">
      <c r="A38" s="91" t="s">
        <v>205</v>
      </c>
      <c r="B38" s="83">
        <v>1</v>
      </c>
      <c r="C38" s="83">
        <v>1385</v>
      </c>
      <c r="D38" s="82">
        <f t="shared" si="17"/>
        <v>138.5</v>
      </c>
      <c r="E38" s="83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3"/>
      <c r="I38" s="34">
        <f>H38-G38</f>
        <v>-631.87313976581652</v>
      </c>
      <c r="J38" s="39"/>
      <c r="K38" s="40"/>
    </row>
    <row r="39" spans="1:11" x14ac:dyDescent="0.25">
      <c r="A39" s="89" t="s">
        <v>30</v>
      </c>
      <c r="B39" s="87"/>
      <c r="C39" s="87"/>
      <c r="D39" s="85"/>
      <c r="E39" s="85"/>
      <c r="F39" s="10"/>
      <c r="G39" s="10"/>
      <c r="H39" s="73"/>
      <c r="I39" s="42"/>
      <c r="J39" s="38"/>
      <c r="K39" s="38"/>
    </row>
    <row r="40" spans="1:11" x14ac:dyDescent="0.25">
      <c r="A40" s="91"/>
      <c r="B40" s="82"/>
      <c r="C40" s="82"/>
      <c r="D40" s="82">
        <f t="shared" ref="D40" si="18">B40*C40*0.1</f>
        <v>0</v>
      </c>
      <c r="E40" s="82">
        <v>0.39</v>
      </c>
      <c r="F40" s="30">
        <f>E40/$E$41*$F$41</f>
        <v>718.61668330761563</v>
      </c>
      <c r="G40" s="30">
        <f t="shared" si="2"/>
        <v>257.55221929744943</v>
      </c>
      <c r="H40" s="73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3"/>
      <c r="I41" s="28"/>
      <c r="J41" s="28"/>
      <c r="K41" s="28"/>
    </row>
    <row r="43" spans="1:11" ht="60" customHeight="1" x14ac:dyDescent="0.25">
      <c r="A43" s="121" t="s">
        <v>210</v>
      </c>
      <c r="B43" s="122"/>
      <c r="C43" s="122"/>
      <c r="D43" s="122"/>
      <c r="E43" s="122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3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1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3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1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3"/>
      <c r="I6" s="34">
        <f t="shared" ref="I6" si="3"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5"/>
      <c r="E7" s="9"/>
      <c r="F7" s="10"/>
      <c r="G7" s="10"/>
      <c r="H7" s="73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2">
        <f t="shared" ref="D8" si="4">B8*C8*0.1</f>
        <v>93.5</v>
      </c>
      <c r="E8" s="93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3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5"/>
      <c r="E9" s="9"/>
      <c r="F9" s="10"/>
      <c r="G9" s="10"/>
      <c r="H9" s="73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78">
        <v>2</v>
      </c>
      <c r="C10" s="3">
        <f>704</f>
        <v>704</v>
      </c>
      <c r="D10" s="82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3"/>
      <c r="I10" s="34">
        <f t="shared" ref="I10:I12" si="5">H10-G10</f>
        <v>-650.33328616462359</v>
      </c>
      <c r="J10" s="39"/>
      <c r="K10" s="40"/>
    </row>
    <row r="11" spans="1:11" ht="45" x14ac:dyDescent="0.25">
      <c r="A11" s="18" t="s">
        <v>218</v>
      </c>
      <c r="B11" s="78">
        <v>2</v>
      </c>
      <c r="C11" s="3">
        <f>704</f>
        <v>704</v>
      </c>
      <c r="D11" s="82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3"/>
      <c r="I11" s="34">
        <f t="shared" si="5"/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2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3"/>
      <c r="I12" s="34">
        <f t="shared" si="5"/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5"/>
      <c r="E13" s="9"/>
      <c r="F13" s="10"/>
      <c r="G13" s="10"/>
      <c r="H13" s="73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78">
        <v>2</v>
      </c>
      <c r="C14" s="3">
        <f>1232</f>
        <v>1232</v>
      </c>
      <c r="D14" s="82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3"/>
      <c r="I14" s="34">
        <f t="shared" ref="I14:I16" si="8"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2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3"/>
      <c r="I15" s="34">
        <f t="shared" si="8"/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2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3"/>
      <c r="I16" s="34">
        <f t="shared" si="8"/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5"/>
      <c r="E17" s="9"/>
      <c r="F17" s="10"/>
      <c r="G17" s="10"/>
      <c r="H17" s="73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80" t="s">
        <v>235</v>
      </c>
    </row>
    <row r="18" spans="1:12" ht="35.25" x14ac:dyDescent="0.25">
      <c r="A18" s="92" t="s">
        <v>224</v>
      </c>
      <c r="B18" s="3">
        <v>1</v>
      </c>
      <c r="C18" s="3">
        <v>2414</v>
      </c>
      <c r="D18" s="82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3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5"/>
      <c r="E19" s="9"/>
      <c r="F19" s="10"/>
      <c r="G19" s="10"/>
      <c r="H19" s="73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80" t="s">
        <v>236</v>
      </c>
    </row>
    <row r="20" spans="1:12" ht="46.5" x14ac:dyDescent="0.25">
      <c r="A20" s="92" t="s">
        <v>225</v>
      </c>
      <c r="B20" s="3">
        <v>1</v>
      </c>
      <c r="C20" s="3">
        <v>2322</v>
      </c>
      <c r="D20" s="82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3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1">
        <f t="shared" si="1"/>
        <v>93.5</v>
      </c>
      <c r="E21" s="93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3"/>
      <c r="I21" s="34">
        <f>H21-G21</f>
        <v>-478.99018914185643</v>
      </c>
      <c r="J21" s="39"/>
      <c r="K21" s="40"/>
    </row>
    <row r="22" spans="1:12" x14ac:dyDescent="0.25">
      <c r="A22" s="92" t="s">
        <v>226</v>
      </c>
      <c r="B22" s="3">
        <v>1</v>
      </c>
      <c r="C22" s="3">
        <v>1385</v>
      </c>
      <c r="D22" s="82">
        <f t="shared" si="1"/>
        <v>138.5</v>
      </c>
      <c r="E22" s="93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3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1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3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1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3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5"/>
      <c r="E25" s="9"/>
      <c r="F25" s="10"/>
      <c r="G25" s="10"/>
      <c r="H25" s="73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2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3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5"/>
      <c r="E27" s="9"/>
      <c r="F27" s="10"/>
      <c r="G27" s="10"/>
      <c r="H27" s="73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2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3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1">
        <f t="shared" si="12"/>
        <v>135.80000000000001</v>
      </c>
      <c r="E29" s="93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3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5"/>
      <c r="E30" s="9"/>
      <c r="F30" s="10"/>
      <c r="G30" s="10"/>
      <c r="H30" s="73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2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3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2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3"/>
      <c r="I32" s="34">
        <f>H32-G32</f>
        <v>-470.95317653239937</v>
      </c>
      <c r="J32" s="39"/>
      <c r="K32" s="40"/>
    </row>
    <row r="33" spans="1:11" x14ac:dyDescent="0.25">
      <c r="A33" s="89" t="s">
        <v>30</v>
      </c>
      <c r="B33" s="87"/>
      <c r="C33" s="87"/>
      <c r="D33" s="85"/>
      <c r="E33" s="85"/>
      <c r="F33" s="10"/>
      <c r="G33" s="10"/>
      <c r="H33" s="73"/>
      <c r="I33" s="42"/>
      <c r="J33" s="38"/>
      <c r="K33" s="38"/>
    </row>
    <row r="34" spans="1:11" x14ac:dyDescent="0.25">
      <c r="A34" s="91"/>
      <c r="B34" s="82"/>
      <c r="C34" s="82"/>
      <c r="D34" s="82">
        <f t="shared" ref="D34" si="14">B34*C34*0.1</f>
        <v>0</v>
      </c>
      <c r="E34" s="82">
        <v>1.3129999999999999</v>
      </c>
      <c r="F34" s="30">
        <f>E34/$E$35*$F$35</f>
        <v>2477.6838879159368</v>
      </c>
      <c r="G34" s="30">
        <f t="shared" si="2"/>
        <v>849.84557355516642</v>
      </c>
      <c r="H34" s="73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3"/>
      <c r="I35" s="28"/>
      <c r="J35" s="28"/>
      <c r="K35" s="28"/>
    </row>
    <row r="37" spans="1:11" ht="49.5" customHeight="1" x14ac:dyDescent="0.25">
      <c r="A37" s="121" t="s">
        <v>210</v>
      </c>
      <c r="B37" s="122"/>
      <c r="C37" s="122"/>
      <c r="D37" s="122"/>
      <c r="E37" s="122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5"/>
      <c r="E4" s="9"/>
      <c r="F4" s="10"/>
      <c r="G4" s="10"/>
      <c r="H4" s="73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78" t="s">
        <v>240</v>
      </c>
      <c r="B5" s="3">
        <v>1</v>
      </c>
      <c r="C5" s="3">
        <v>1401</v>
      </c>
      <c r="D5" s="82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3"/>
      <c r="I5" s="34">
        <f t="shared" ref="I5:I7" si="0">H5-G5</f>
        <v>-598.03188869694316</v>
      </c>
      <c r="J5" s="39"/>
      <c r="K5" s="40"/>
    </row>
    <row r="6" spans="1:12" x14ac:dyDescent="0.25">
      <c r="A6" s="78" t="s">
        <v>241</v>
      </c>
      <c r="B6" s="3">
        <v>1</v>
      </c>
      <c r="C6" s="3">
        <v>935</v>
      </c>
      <c r="D6" s="82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3"/>
      <c r="I6" s="34">
        <f t="shared" si="0"/>
        <v>-481.16532093933461</v>
      </c>
      <c r="J6" s="39"/>
      <c r="K6" s="40"/>
    </row>
    <row r="7" spans="1:12" x14ac:dyDescent="0.25">
      <c r="A7" s="77" t="s">
        <v>242</v>
      </c>
      <c r="B7" s="3">
        <v>1</v>
      </c>
      <c r="C7" s="3">
        <v>1404</v>
      </c>
      <c r="D7" s="82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3"/>
      <c r="I7" s="34">
        <f t="shared" si="0"/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5"/>
      <c r="E8" s="9"/>
      <c r="F8" s="10"/>
      <c r="G8" s="10"/>
      <c r="H8" s="73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78" t="s">
        <v>244</v>
      </c>
      <c r="B9" s="3">
        <v>1</v>
      </c>
      <c r="C9" s="3">
        <v>1401</v>
      </c>
      <c r="D9" s="82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3"/>
      <c r="I9" s="34">
        <f t="shared" ref="I9:I11" si="3">H9-G9</f>
        <v>-593.99477418179367</v>
      </c>
      <c r="J9" s="39"/>
      <c r="K9" s="40"/>
    </row>
    <row r="10" spans="1:12" x14ac:dyDescent="0.25">
      <c r="A10" s="78" t="s">
        <v>245</v>
      </c>
      <c r="B10" s="3">
        <v>1</v>
      </c>
      <c r="C10" s="3">
        <v>1557</v>
      </c>
      <c r="D10" s="82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3"/>
      <c r="I10" s="34">
        <f t="shared" si="3"/>
        <v>-929.2649612119576</v>
      </c>
      <c r="J10" s="39"/>
      <c r="K10" s="40"/>
    </row>
    <row r="11" spans="1:12" x14ac:dyDescent="0.25">
      <c r="A11" s="78" t="s">
        <v>246</v>
      </c>
      <c r="B11" s="3">
        <v>1</v>
      </c>
      <c r="C11" s="3">
        <v>1401</v>
      </c>
      <c r="D11" s="82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3"/>
      <c r="I11" s="34">
        <f t="shared" si="3"/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5"/>
      <c r="E12" s="9"/>
      <c r="F12" s="10"/>
      <c r="G12" s="10"/>
      <c r="H12" s="73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80"/>
    </row>
    <row r="13" spans="1:12" x14ac:dyDescent="0.25">
      <c r="A13" s="78" t="s">
        <v>248</v>
      </c>
      <c r="B13" s="3">
        <v>1</v>
      </c>
      <c r="C13" s="3">
        <v>2180</v>
      </c>
      <c r="D13" s="82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3"/>
      <c r="I13" s="34">
        <f>H13-G13</f>
        <v>-1333.3457418179364</v>
      </c>
      <c r="J13" s="39"/>
      <c r="K13" s="40"/>
    </row>
    <row r="14" spans="1:12" x14ac:dyDescent="0.25">
      <c r="A14" s="78" t="s">
        <v>249</v>
      </c>
      <c r="B14" s="3">
        <v>1</v>
      </c>
      <c r="C14" s="3">
        <v>2595</v>
      </c>
      <c r="D14" s="81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3"/>
      <c r="I14" s="34">
        <f>H14-G14</f>
        <v>-1301.1652450907618</v>
      </c>
      <c r="J14" s="39"/>
      <c r="K14" s="40"/>
    </row>
    <row r="15" spans="1:12" x14ac:dyDescent="0.25">
      <c r="A15" s="78" t="s">
        <v>250</v>
      </c>
      <c r="B15" s="3">
        <v>1</v>
      </c>
      <c r="C15" s="3">
        <v>935</v>
      </c>
      <c r="D15" s="81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3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5"/>
      <c r="E16" s="9"/>
      <c r="F16" s="10"/>
      <c r="G16" s="10"/>
      <c r="H16" s="73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7" t="s">
        <v>251</v>
      </c>
      <c r="B17" s="3">
        <v>1</v>
      </c>
      <c r="C17" s="3">
        <v>1401</v>
      </c>
      <c r="D17" s="82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3"/>
      <c r="I17" s="34">
        <f>H17-G17</f>
        <v>-707.03398060597874</v>
      </c>
      <c r="J17" s="39"/>
      <c r="K17" s="40"/>
    </row>
    <row r="18" spans="1:12" x14ac:dyDescent="0.25">
      <c r="A18" s="77" t="s">
        <v>252</v>
      </c>
      <c r="B18" s="3">
        <v>1</v>
      </c>
      <c r="C18" s="3">
        <v>1168</v>
      </c>
      <c r="D18" s="81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3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5"/>
      <c r="E19" s="9"/>
      <c r="F19" s="10"/>
      <c r="G19" s="10"/>
      <c r="H19" s="73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4" t="s">
        <v>253</v>
      </c>
      <c r="B20" s="3">
        <v>1</v>
      </c>
      <c r="C20" s="3">
        <v>1401</v>
      </c>
      <c r="D20" s="82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3"/>
      <c r="I20" s="34">
        <f>H20-G20</f>
        <v>-598.03188869694316</v>
      </c>
      <c r="J20" s="39"/>
      <c r="K20" s="40"/>
    </row>
    <row r="21" spans="1:12" x14ac:dyDescent="0.25">
      <c r="A21" s="94" t="s">
        <v>254</v>
      </c>
      <c r="B21" s="3">
        <v>1</v>
      </c>
      <c r="C21" s="3">
        <v>1401</v>
      </c>
      <c r="D21" s="82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3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3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78" t="s">
        <v>255</v>
      </c>
      <c r="B23" s="3">
        <v>1</v>
      </c>
      <c r="C23" s="3">
        <v>778</v>
      </c>
      <c r="D23" s="81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3"/>
      <c r="I23" s="34">
        <f>H23-G23</f>
        <v>-367.54703224239154</v>
      </c>
      <c r="J23" s="39"/>
      <c r="K23" s="40"/>
    </row>
    <row r="24" spans="1:12" x14ac:dyDescent="0.25">
      <c r="A24" s="78" t="s">
        <v>256</v>
      </c>
      <c r="B24" s="3">
        <v>1</v>
      </c>
      <c r="C24" s="3">
        <v>935</v>
      </c>
      <c r="D24" s="81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3"/>
      <c r="I24" s="34">
        <f t="shared" ref="I24" si="10"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5"/>
      <c r="E25" s="9"/>
      <c r="F25" s="10"/>
      <c r="G25" s="10"/>
      <c r="H25" s="73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78" t="s">
        <v>258</v>
      </c>
      <c r="B26" s="3">
        <v>1</v>
      </c>
      <c r="C26" s="3">
        <v>1168</v>
      </c>
      <c r="D26" s="82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3"/>
      <c r="I26" s="34">
        <f>H26-G26</f>
        <v>-648.60069672717452</v>
      </c>
      <c r="J26" s="39"/>
      <c r="K26" s="40"/>
    </row>
    <row r="27" spans="1:12" x14ac:dyDescent="0.25">
      <c r="A27" s="78" t="s">
        <v>259</v>
      </c>
      <c r="B27" s="3">
        <v>1</v>
      </c>
      <c r="C27" s="3">
        <v>1168</v>
      </c>
      <c r="D27" s="82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3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3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7" t="s">
        <v>242</v>
      </c>
      <c r="B29" s="3">
        <v>1</v>
      </c>
      <c r="C29" s="3">
        <v>1404</v>
      </c>
      <c r="D29" s="81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3"/>
      <c r="I29" s="34">
        <f>H29-G29</f>
        <v>-627.45989030298938</v>
      </c>
      <c r="J29" s="39"/>
      <c r="K29" s="40"/>
    </row>
    <row r="30" spans="1:12" x14ac:dyDescent="0.25">
      <c r="A30" s="78" t="s">
        <v>261</v>
      </c>
      <c r="B30" s="3">
        <v>1</v>
      </c>
      <c r="C30" s="3">
        <v>2180</v>
      </c>
      <c r="D30" s="81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3"/>
      <c r="I30" s="34">
        <f t="shared" ref="I30" si="13"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5"/>
      <c r="E31" s="9"/>
      <c r="F31" s="10"/>
      <c r="G31" s="10"/>
      <c r="H31" s="73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6" t="s">
        <v>288</v>
      </c>
    </row>
    <row r="32" spans="1:12" x14ac:dyDescent="0.25">
      <c r="A32" s="78" t="s">
        <v>263</v>
      </c>
      <c r="B32" s="3">
        <v>1</v>
      </c>
      <c r="C32" s="3">
        <v>1168</v>
      </c>
      <c r="D32" s="82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3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5"/>
      <c r="E33" s="9"/>
      <c r="F33" s="10"/>
      <c r="G33" s="10"/>
      <c r="H33" s="73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7" t="s">
        <v>265</v>
      </c>
      <c r="B34" s="3">
        <v>1</v>
      </c>
      <c r="C34" s="3">
        <v>2336</v>
      </c>
      <c r="D34" s="82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3"/>
      <c r="I34" s="34">
        <f>H34-G34</f>
        <v>-1266.7677609555299</v>
      </c>
      <c r="J34" s="39"/>
      <c r="K34" s="40"/>
    </row>
    <row r="35" spans="1:11" x14ac:dyDescent="0.25">
      <c r="A35" s="89" t="s">
        <v>30</v>
      </c>
      <c r="B35" s="87"/>
      <c r="C35" s="87"/>
      <c r="D35" s="85"/>
      <c r="E35" s="85"/>
      <c r="F35" s="10"/>
      <c r="G35" s="10"/>
      <c r="H35" s="73"/>
      <c r="I35" s="42"/>
      <c r="J35" s="38"/>
      <c r="K35" s="38"/>
    </row>
    <row r="36" spans="1:11" x14ac:dyDescent="0.25">
      <c r="A36" s="91"/>
      <c r="B36" s="82"/>
      <c r="C36" s="82"/>
      <c r="D36" s="82">
        <f t="shared" ref="D36" si="15">B36*C36*0.1</f>
        <v>0</v>
      </c>
      <c r="E36" s="82">
        <v>1.1859999999999999</v>
      </c>
      <c r="F36" s="30">
        <f>E36/$E$37*$F$37</f>
        <v>2080.8421620892095</v>
      </c>
      <c r="G36" s="30">
        <f t="shared" si="6"/>
        <v>736.61812537958008</v>
      </c>
      <c r="H36" s="73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5">
        <v>13000</v>
      </c>
      <c r="G37" s="28">
        <f>F37/E37</f>
        <v>1754.5043525204128</v>
      </c>
      <c r="H37" s="73"/>
      <c r="I37" s="28"/>
      <c r="J37" s="28"/>
      <c r="K37" s="28"/>
    </row>
    <row r="39" spans="1:11" ht="63.75" customHeight="1" x14ac:dyDescent="0.25">
      <c r="A39" s="121" t="s">
        <v>210</v>
      </c>
      <c r="B39" s="122"/>
      <c r="C39" s="122"/>
      <c r="D39" s="122"/>
      <c r="E39" s="122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4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5"/>
      <c r="E4" s="9"/>
      <c r="F4" s="10"/>
      <c r="G4" s="10"/>
      <c r="H4" s="73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365</v>
      </c>
    </row>
    <row r="5" spans="1:12" x14ac:dyDescent="0.25">
      <c r="A5" s="18" t="s">
        <v>268</v>
      </c>
      <c r="B5" s="3">
        <v>1</v>
      </c>
      <c r="C5" s="3">
        <v>729</v>
      </c>
      <c r="D5" s="82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3"/>
      <c r="I5" s="34">
        <f t="shared" ref="I5:I8" si="0"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2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3"/>
      <c r="I6" s="34">
        <f t="shared" si="0"/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2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3"/>
      <c r="I7" s="34">
        <f t="shared" ref="I7" si="3">H7-G7</f>
        <v>-639.2798296089386</v>
      </c>
      <c r="J7" s="39"/>
      <c r="K7" s="40"/>
    </row>
    <row r="8" spans="1:12" ht="30" x14ac:dyDescent="0.25">
      <c r="A8" s="77" t="s">
        <v>271</v>
      </c>
      <c r="B8" s="3">
        <v>1</v>
      </c>
      <c r="C8" s="3">
        <f>3364/10*2</f>
        <v>672.8</v>
      </c>
      <c r="D8" s="82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3"/>
      <c r="I8" s="34">
        <f t="shared" si="0"/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5"/>
      <c r="E9" s="9"/>
      <c r="F9" s="10"/>
      <c r="G9" s="10"/>
      <c r="H9" s="73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2" t="s">
        <v>272</v>
      </c>
      <c r="B10" s="3">
        <v>1</v>
      </c>
      <c r="C10" s="3">
        <v>1728</v>
      </c>
      <c r="D10" s="82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3"/>
      <c r="I10" s="34">
        <f t="shared" ref="I10:I13" si="4">H10-G10</f>
        <v>-980.43359329608938</v>
      </c>
      <c r="J10" s="39"/>
      <c r="K10" s="40"/>
    </row>
    <row r="11" spans="1:12" x14ac:dyDescent="0.25">
      <c r="A11" s="92" t="s">
        <v>273</v>
      </c>
      <c r="B11" s="3">
        <v>1</v>
      </c>
      <c r="C11" s="26">
        <v>1404</v>
      </c>
      <c r="D11" s="82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3"/>
      <c r="I11" s="34">
        <f t="shared" si="4"/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2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3"/>
      <c r="I12" s="34">
        <f t="shared" si="4"/>
        <v>-910.85853016759768</v>
      </c>
      <c r="J12" s="39"/>
      <c r="K12" s="40"/>
    </row>
    <row r="13" spans="1:12" ht="30" x14ac:dyDescent="0.25">
      <c r="A13" s="77" t="s">
        <v>275</v>
      </c>
      <c r="B13" s="3">
        <v>1</v>
      </c>
      <c r="C13" s="3">
        <f>3364/10*4</f>
        <v>1345.6</v>
      </c>
      <c r="D13" s="82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3"/>
      <c r="I13" s="34">
        <f t="shared" si="4"/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5"/>
      <c r="E14" s="9"/>
      <c r="F14" s="10"/>
      <c r="G14" s="10"/>
      <c r="H14" s="73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78">
        <v>2</v>
      </c>
      <c r="C15" s="3">
        <f>975</f>
        <v>975</v>
      </c>
      <c r="D15" s="82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3"/>
      <c r="I15" s="34">
        <f t="shared" ref="I15:I17" si="6">H15-G15</f>
        <v>-1274.9829888268157</v>
      </c>
      <c r="J15" s="39"/>
      <c r="K15" s="40"/>
    </row>
    <row r="16" spans="1:12" ht="45" x14ac:dyDescent="0.25">
      <c r="A16" s="18" t="s">
        <v>277</v>
      </c>
      <c r="B16" s="78">
        <v>2</v>
      </c>
      <c r="C16" s="3">
        <f>1348</f>
        <v>1348</v>
      </c>
      <c r="D16" s="82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3"/>
      <c r="I16" s="34">
        <f t="shared" si="6"/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2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3"/>
      <c r="I17" s="34">
        <f t="shared" si="6"/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5"/>
      <c r="E18" s="9"/>
      <c r="F18" s="10"/>
      <c r="G18" s="10"/>
      <c r="H18" s="73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80"/>
    </row>
    <row r="19" spans="1:12" x14ac:dyDescent="0.25">
      <c r="A19" s="92" t="s">
        <v>124</v>
      </c>
      <c r="B19" s="3">
        <v>1</v>
      </c>
      <c r="C19" s="3">
        <v>1136</v>
      </c>
      <c r="D19" s="82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3"/>
      <c r="I19" s="34">
        <f>H19-G19</f>
        <v>-699.65359441340786</v>
      </c>
      <c r="J19" s="39"/>
      <c r="K19" s="40"/>
    </row>
    <row r="20" spans="1:12" x14ac:dyDescent="0.25">
      <c r="A20" s="92" t="s">
        <v>279</v>
      </c>
      <c r="B20" s="3">
        <v>1</v>
      </c>
      <c r="C20" s="3">
        <v>1136</v>
      </c>
      <c r="D20" s="81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3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5"/>
      <c r="E21" s="9"/>
      <c r="F21" s="10"/>
      <c r="G21" s="10"/>
      <c r="H21" s="73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2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3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1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3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5"/>
      <c r="E24" s="9"/>
      <c r="F24" s="10"/>
      <c r="G24" s="10"/>
      <c r="H24" s="73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7" t="s">
        <v>275</v>
      </c>
      <c r="B25" s="3">
        <v>1</v>
      </c>
      <c r="C25" s="3">
        <f>3364/10*4</f>
        <v>1345.6</v>
      </c>
      <c r="D25" s="82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3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5"/>
      <c r="E26" s="9"/>
      <c r="F26" s="10"/>
      <c r="G26" s="10"/>
      <c r="H26" s="73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97" t="s">
        <v>289</v>
      </c>
    </row>
    <row r="27" spans="1:12" x14ac:dyDescent="0.25">
      <c r="A27" s="92" t="s">
        <v>279</v>
      </c>
      <c r="B27" s="3">
        <v>1</v>
      </c>
      <c r="C27" s="3">
        <v>2344</v>
      </c>
      <c r="D27" s="82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3"/>
      <c r="I27" s="34">
        <f>H27-G27</f>
        <v>-1427.1063888268156</v>
      </c>
      <c r="J27" s="39"/>
      <c r="K27" s="40"/>
    </row>
    <row r="28" spans="1:12" x14ac:dyDescent="0.25">
      <c r="A28" s="89" t="s">
        <v>30</v>
      </c>
      <c r="B28" s="87"/>
      <c r="C28" s="87"/>
      <c r="D28" s="85"/>
      <c r="E28" s="85"/>
      <c r="F28" s="10"/>
      <c r="G28" s="10"/>
      <c r="H28" s="73"/>
      <c r="I28" s="42"/>
      <c r="J28" s="38"/>
      <c r="K28" s="38"/>
    </row>
    <row r="29" spans="1:12" x14ac:dyDescent="0.25">
      <c r="A29" s="91"/>
      <c r="B29" s="82"/>
      <c r="C29" s="82"/>
      <c r="D29" s="82">
        <f t="shared" ref="D29" si="13">B29*C29*0.1</f>
        <v>0</v>
      </c>
      <c r="E29" s="82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3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5">
        <v>17750</v>
      </c>
      <c r="G30" s="28">
        <f>F30/E30</f>
        <v>1906.9617533304684</v>
      </c>
      <c r="H30" s="73"/>
      <c r="I30" s="28"/>
      <c r="J30" s="28"/>
      <c r="K30" s="28"/>
    </row>
    <row r="32" spans="1:12" ht="63.75" customHeight="1" x14ac:dyDescent="0.25">
      <c r="A32" s="121" t="s">
        <v>210</v>
      </c>
      <c r="B32" s="122"/>
      <c r="C32" s="122"/>
      <c r="D32" s="122"/>
      <c r="E32" s="122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2017-08-28T04:18:54Z</dcterms:modified>
</cp:coreProperties>
</file>