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70" yWindow="-80" windowWidth="17580" windowHeight="12690" activeTab="15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calcPr calcId="162913"/>
</workbook>
</file>

<file path=xl/calcChain.xml><?xml version="1.0" encoding="utf-8"?>
<calcChain xmlns="http://schemas.openxmlformats.org/spreadsheetml/2006/main">
  <c r="K22" i="16" l="1"/>
  <c r="K57" i="16" l="1"/>
  <c r="K28" i="16"/>
  <c r="K6" i="16"/>
  <c r="E77" i="16" l="1"/>
  <c r="B1" i="16"/>
  <c r="J69" i="16" l="1"/>
  <c r="J61" i="16"/>
  <c r="J22" i="16"/>
  <c r="E83" i="16" l="1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C68" i="16"/>
  <c r="C64" i="16"/>
  <c r="D83" i="16"/>
  <c r="C60" i="16"/>
  <c r="C59" i="16"/>
  <c r="C58" i="16"/>
  <c r="C56" i="16"/>
  <c r="D56" i="16" s="1"/>
  <c r="C55" i="16"/>
  <c r="C53" i="16"/>
  <c r="C52" i="16"/>
  <c r="D52" i="16" s="1"/>
  <c r="C50" i="16"/>
  <c r="D50" i="16" s="1"/>
  <c r="C49" i="16"/>
  <c r="C47" i="16"/>
  <c r="C46" i="16"/>
  <c r="D46" i="16" s="1"/>
  <c r="D40" i="16"/>
  <c r="C35" i="16"/>
  <c r="C33" i="16"/>
  <c r="C31" i="16"/>
  <c r="C29" i="16"/>
  <c r="C27" i="16"/>
  <c r="C25" i="16"/>
  <c r="C23" i="16"/>
  <c r="D23" i="16" s="1"/>
  <c r="C21" i="16"/>
  <c r="D21" i="16" s="1"/>
  <c r="C19" i="16"/>
  <c r="C7" i="16"/>
  <c r="E76" i="16"/>
  <c r="D84" i="16"/>
  <c r="D82" i="16"/>
  <c r="D55" i="16"/>
  <c r="D53" i="16"/>
  <c r="D49" i="16"/>
  <c r="D47" i="16"/>
  <c r="D37" i="16"/>
  <c r="D38" i="16"/>
  <c r="D41" i="16"/>
  <c r="D43" i="16"/>
  <c r="D44" i="16"/>
  <c r="D35" i="16"/>
  <c r="D33" i="16"/>
  <c r="D31" i="16"/>
  <c r="D29" i="16"/>
  <c r="D27" i="16"/>
  <c r="I76" i="16"/>
  <c r="D73" i="16"/>
  <c r="D72" i="16"/>
  <c r="D71" i="16"/>
  <c r="D70" i="16"/>
  <c r="D68" i="16"/>
  <c r="D67" i="16"/>
  <c r="D66" i="16"/>
  <c r="D64" i="16"/>
  <c r="D63" i="16"/>
  <c r="D60" i="16"/>
  <c r="D59" i="16"/>
  <c r="D58" i="16"/>
  <c r="D25" i="16"/>
  <c r="D19" i="16"/>
  <c r="D17" i="16"/>
  <c r="D13" i="16"/>
  <c r="D11" i="16"/>
  <c r="D9" i="16"/>
  <c r="D7" i="16"/>
  <c r="D5" i="16"/>
  <c r="D15" i="16" l="1"/>
  <c r="D62" i="16"/>
  <c r="J8" i="15"/>
  <c r="J61" i="15"/>
  <c r="J49" i="15"/>
  <c r="J32" i="15"/>
  <c r="J26" i="15"/>
  <c r="J29" i="15"/>
  <c r="J12" i="15"/>
  <c r="J14" i="15"/>
  <c r="F5" i="16" l="1"/>
  <c r="G5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B28" i="6" s="1"/>
  <c r="F68" i="16"/>
  <c r="G68" i="16" s="1"/>
  <c r="I68" i="16" s="1"/>
  <c r="F35" i="16"/>
  <c r="G35" i="16" s="1"/>
  <c r="I35" i="16" s="1"/>
  <c r="I34" i="16" s="1"/>
  <c r="K34" i="16" s="1"/>
  <c r="B91" i="6" s="1"/>
  <c r="F31" i="16"/>
  <c r="G31" i="16" s="1"/>
  <c r="I31" i="16" s="1"/>
  <c r="I30" i="16" s="1"/>
  <c r="K30" i="16" s="1"/>
  <c r="B31" i="6" s="1"/>
  <c r="F27" i="16"/>
  <c r="G27" i="16" s="1"/>
  <c r="I27" i="16" s="1"/>
  <c r="I26" i="16" s="1"/>
  <c r="K26" i="16" s="1"/>
  <c r="B64" i="6" s="1"/>
  <c r="F33" i="16"/>
  <c r="G33" i="16" s="1"/>
  <c r="I33" i="16" s="1"/>
  <c r="I32" i="16" s="1"/>
  <c r="K32" i="16" s="1"/>
  <c r="B82" i="6" s="1"/>
  <c r="F29" i="16"/>
  <c r="G29" i="16" s="1"/>
  <c r="I29" i="16" s="1"/>
  <c r="I28" i="16" s="1"/>
  <c r="B4" i="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B66" i="6" s="1"/>
  <c r="F23" i="16"/>
  <c r="G23" i="16" s="1"/>
  <c r="I23" i="16" s="1"/>
  <c r="I22" i="16" s="1"/>
  <c r="B86" i="6" s="1"/>
  <c r="F66" i="16"/>
  <c r="G66" i="16" s="1"/>
  <c r="I66" i="16" s="1"/>
  <c r="F25" i="16"/>
  <c r="G25" i="16" s="1"/>
  <c r="I25" i="16" s="1"/>
  <c r="I24" i="16" s="1"/>
  <c r="K24" i="16" s="1"/>
  <c r="B60" i="6" s="1"/>
  <c r="F19" i="16"/>
  <c r="G19" i="16" s="1"/>
  <c r="I19" i="16" s="1"/>
  <c r="I18" i="16" s="1"/>
  <c r="K18" i="16" s="1"/>
  <c r="B15" i="6" s="1"/>
  <c r="F21" i="16"/>
  <c r="G21" i="16" s="1"/>
  <c r="I21" i="16" s="1"/>
  <c r="I20" i="16" s="1"/>
  <c r="K20" i="16" s="1"/>
  <c r="B59" i="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B69" i="6" s="1"/>
  <c r="F63" i="16"/>
  <c r="G63" i="16" s="1"/>
  <c r="I63" i="16" s="1"/>
  <c r="I5" i="16"/>
  <c r="I4" i="16" s="1"/>
  <c r="K4" i="16" s="1"/>
  <c r="B97" i="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B62" i="6" s="1"/>
  <c r="F76" i="16"/>
  <c r="F64" i="16"/>
  <c r="G64" i="16" s="1"/>
  <c r="I64" i="16" s="1"/>
  <c r="F17" i="16"/>
  <c r="G17" i="16" s="1"/>
  <c r="I17" i="16" s="1"/>
  <c r="I16" i="16" s="1"/>
  <c r="K16" i="16" s="1"/>
  <c r="B25" i="6" s="1"/>
  <c r="F15" i="16"/>
  <c r="G15" i="16" s="1"/>
  <c r="I15" i="16" s="1"/>
  <c r="I14" i="16" s="1"/>
  <c r="K14" i="16" s="1"/>
  <c r="B21" i="6" s="1"/>
  <c r="F7" i="16"/>
  <c r="G7" i="16" s="1"/>
  <c r="I7" i="16" s="1"/>
  <c r="I6" i="16" s="1"/>
  <c r="B41" i="6" s="1"/>
  <c r="F60" i="16"/>
  <c r="G60" i="16" s="1"/>
  <c r="I60" i="16" s="1"/>
  <c r="F58" i="16"/>
  <c r="G58" i="16" s="1"/>
  <c r="I58" i="16" s="1"/>
  <c r="J18" i="15"/>
  <c r="I45" i="16" l="1"/>
  <c r="K45" i="16" s="1"/>
  <c r="B96" i="6" s="1"/>
  <c r="I48" i="16"/>
  <c r="K48" i="16" s="1"/>
  <c r="B89" i="6" s="1"/>
  <c r="I81" i="16"/>
  <c r="K81" i="16" s="1"/>
  <c r="B5" i="6" s="1"/>
  <c r="I65" i="16"/>
  <c r="K65" i="16" s="1"/>
  <c r="B14" i="6" s="1"/>
  <c r="I57" i="16"/>
  <c r="B65" i="6" s="1"/>
  <c r="I36" i="16"/>
  <c r="K36" i="16" s="1"/>
  <c r="B29" i="6" s="1"/>
  <c r="I51" i="16"/>
  <c r="K51" i="16" s="1"/>
  <c r="B6" i="6" s="1"/>
  <c r="I54" i="16"/>
  <c r="K54" i="16" s="1"/>
  <c r="B74" i="6" s="1"/>
  <c r="I39" i="16"/>
  <c r="K39" i="16" s="1"/>
  <c r="B72" i="6" s="1"/>
  <c r="I61" i="16"/>
  <c r="K61" i="16" s="1"/>
  <c r="B75" i="6" s="1"/>
  <c r="I69" i="16"/>
  <c r="J24" i="15"/>
  <c r="J39" i="15"/>
  <c r="J46" i="15"/>
  <c r="K69" i="16" l="1"/>
  <c r="B56" i="6" s="1"/>
  <c r="J10" i="15"/>
  <c r="G71" i="15" l="1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71" i="15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1" i="15"/>
  <c r="D36" i="15"/>
  <c r="D38" i="15"/>
  <c r="D44" i="15"/>
  <c r="D50" i="15"/>
  <c r="D55" i="15"/>
  <c r="D57" i="15"/>
  <c r="D58" i="15"/>
  <c r="D64" i="15"/>
  <c r="D66" i="15"/>
  <c r="D67" i="15"/>
  <c r="D68" i="15"/>
  <c r="C65" i="15"/>
  <c r="D65" i="15" s="1"/>
  <c r="C64" i="15"/>
  <c r="C63" i="15"/>
  <c r="D63" i="15" s="1"/>
  <c r="C62" i="15"/>
  <c r="D62" i="15" s="1"/>
  <c r="D60" i="15"/>
  <c r="D59" i="15"/>
  <c r="D54" i="15"/>
  <c r="D53" i="15"/>
  <c r="C51" i="15"/>
  <c r="D51" i="15" s="1"/>
  <c r="C50" i="15"/>
  <c r="C48" i="15"/>
  <c r="D48" i="15" s="1"/>
  <c r="C47" i="15"/>
  <c r="D47" i="15" s="1"/>
  <c r="C45" i="15"/>
  <c r="D45" i="15" s="1"/>
  <c r="C44" i="15"/>
  <c r="C42" i="15"/>
  <c r="D42" i="15" s="1"/>
  <c r="C41" i="15"/>
  <c r="D41" i="15" s="1"/>
  <c r="C40" i="15"/>
  <c r="D40" i="15" s="1"/>
  <c r="C38" i="15"/>
  <c r="C37" i="15"/>
  <c r="D37" i="15" s="1"/>
  <c r="C34" i="15"/>
  <c r="D34" i="15" s="1"/>
  <c r="C33" i="15"/>
  <c r="D33" i="15" s="1"/>
  <c r="C31" i="15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F57" i="15" l="1"/>
  <c r="G57" i="15" s="1"/>
  <c r="I57" i="15" s="1"/>
  <c r="F48" i="15"/>
  <c r="G48" i="15" s="1"/>
  <c r="I48" i="15" s="1"/>
  <c r="F70" i="15"/>
  <c r="F62" i="15"/>
  <c r="G62" i="15" s="1"/>
  <c r="I62" i="15" s="1"/>
  <c r="F54" i="15"/>
  <c r="G54" i="15" s="1"/>
  <c r="I54" i="15" s="1"/>
  <c r="F45" i="15"/>
  <c r="G45" i="15" s="1"/>
  <c r="I45" i="15" s="1"/>
  <c r="F37" i="15"/>
  <c r="G37" i="15" s="1"/>
  <c r="I37" i="15" s="1"/>
  <c r="F21" i="15"/>
  <c r="G21" i="15" s="1"/>
  <c r="I21" i="15" s="1"/>
  <c r="I20" i="15" s="1"/>
  <c r="F13" i="15"/>
  <c r="G13" i="15" s="1"/>
  <c r="I13" i="15" s="1"/>
  <c r="I12" i="15" s="1"/>
  <c r="F53" i="15"/>
  <c r="G53" i="15" s="1"/>
  <c r="I53" i="15" s="1"/>
  <c r="F44" i="15"/>
  <c r="G44" i="15" s="1"/>
  <c r="I44" i="15" s="1"/>
  <c r="F36" i="15"/>
  <c r="G36" i="15" s="1"/>
  <c r="I36" i="15" s="1"/>
  <c r="F28" i="15"/>
  <c r="G28" i="15" s="1"/>
  <c r="I28" i="15" s="1"/>
  <c r="F5" i="15"/>
  <c r="G5" i="15" s="1"/>
  <c r="I5" i="15" s="1"/>
  <c r="F65" i="15"/>
  <c r="G65" i="15" s="1"/>
  <c r="I65" i="15" s="1"/>
  <c r="F40" i="15"/>
  <c r="G40" i="15" s="1"/>
  <c r="I40" i="15" s="1"/>
  <c r="F66" i="15"/>
  <c r="G66" i="15" s="1"/>
  <c r="I66" i="15" s="1"/>
  <c r="F58" i="15"/>
  <c r="G58" i="15" s="1"/>
  <c r="I58" i="15" s="1"/>
  <c r="F41" i="15"/>
  <c r="G41" i="15" s="1"/>
  <c r="I41" i="15" s="1"/>
  <c r="F33" i="15"/>
  <c r="G33" i="15" s="1"/>
  <c r="I33" i="15" s="1"/>
  <c r="I32" i="15" s="1"/>
  <c r="F25" i="15"/>
  <c r="G25" i="15" s="1"/>
  <c r="I25" i="15" s="1"/>
  <c r="I24" i="15" s="1"/>
  <c r="F17" i="15"/>
  <c r="G17" i="15" s="1"/>
  <c r="I17" i="15" s="1"/>
  <c r="I16" i="15" s="1"/>
  <c r="F9" i="15"/>
  <c r="G9" i="15" s="1"/>
  <c r="F68" i="15"/>
  <c r="G68" i="15" s="1"/>
  <c r="I68" i="15" s="1"/>
  <c r="F64" i="15"/>
  <c r="G64" i="15" s="1"/>
  <c r="I64" i="15" s="1"/>
  <c r="F60" i="15"/>
  <c r="G60" i="15" s="1"/>
  <c r="I60" i="15" s="1"/>
  <c r="F51" i="15"/>
  <c r="G51" i="15" s="1"/>
  <c r="I51" i="15" s="1"/>
  <c r="F47" i="15"/>
  <c r="G47" i="15" s="1"/>
  <c r="I47" i="15" s="1"/>
  <c r="I46" i="15" s="1"/>
  <c r="F31" i="15"/>
  <c r="G31" i="15" s="1"/>
  <c r="I31" i="15" s="1"/>
  <c r="F27" i="15"/>
  <c r="G27" i="15" s="1"/>
  <c r="I27" i="15" s="1"/>
  <c r="I26" i="15" s="1"/>
  <c r="F23" i="15"/>
  <c r="F19" i="15"/>
  <c r="G19" i="15" s="1"/>
  <c r="I19" i="15" s="1"/>
  <c r="I18" i="15" s="1"/>
  <c r="F15" i="15"/>
  <c r="G15" i="15" s="1"/>
  <c r="I15" i="15" s="1"/>
  <c r="I14" i="15" s="1"/>
  <c r="F11" i="15"/>
  <c r="G11" i="15" s="1"/>
  <c r="F7" i="15"/>
  <c r="G7" i="15" s="1"/>
  <c r="F67" i="15"/>
  <c r="G67" i="15" s="1"/>
  <c r="I67" i="15" s="1"/>
  <c r="F63" i="15"/>
  <c r="G63" i="15" s="1"/>
  <c r="I63" i="15" s="1"/>
  <c r="F59" i="15"/>
  <c r="G59" i="15" s="1"/>
  <c r="I59" i="15" s="1"/>
  <c r="F55" i="15"/>
  <c r="G55" i="15" s="1"/>
  <c r="I55" i="15" s="1"/>
  <c r="F50" i="15"/>
  <c r="G50" i="15" s="1"/>
  <c r="I50" i="15" s="1"/>
  <c r="I49" i="15" s="1"/>
  <c r="F42" i="15"/>
  <c r="G42" i="15" s="1"/>
  <c r="I42" i="15" s="1"/>
  <c r="F38" i="15"/>
  <c r="G38" i="15" s="1"/>
  <c r="I38" i="15" s="1"/>
  <c r="F34" i="15"/>
  <c r="G34" i="15" s="1"/>
  <c r="I34" i="15" s="1"/>
  <c r="F30" i="15"/>
  <c r="G30" i="15" s="1"/>
  <c r="I30" i="15" s="1"/>
  <c r="D5" i="15"/>
  <c r="J27" i="14"/>
  <c r="K20" i="15" l="1"/>
  <c r="G23" i="15"/>
  <c r="I23" i="15" s="1"/>
  <c r="I22" i="15" s="1"/>
  <c r="K22" i="15" s="1"/>
  <c r="B67" i="6" s="1"/>
  <c r="K18" i="15"/>
  <c r="K32" i="15"/>
  <c r="K26" i="15"/>
  <c r="B38" i="6" s="1"/>
  <c r="K16" i="15"/>
  <c r="B10" i="6" s="1"/>
  <c r="K49" i="15"/>
  <c r="K46" i="15"/>
  <c r="B73" i="6" s="1"/>
  <c r="K14" i="15"/>
  <c r="K24" i="15"/>
  <c r="B35" i="6" s="1"/>
  <c r="K12" i="15"/>
  <c r="B40" i="6" s="1"/>
  <c r="I29" i="15"/>
  <c r="I35" i="15"/>
  <c r="I39" i="15"/>
  <c r="I43" i="15"/>
  <c r="K43" i="15" s="1"/>
  <c r="I52" i="15"/>
  <c r="I61" i="15"/>
  <c r="I56" i="15"/>
  <c r="K56" i="15" s="1"/>
  <c r="B84" i="6" s="1"/>
  <c r="I11" i="15"/>
  <c r="I10" i="15" s="1"/>
  <c r="K10" i="15" s="1"/>
  <c r="I9" i="15"/>
  <c r="I8" i="15" s="1"/>
  <c r="K8" i="15" s="1"/>
  <c r="B45" i="6" s="1"/>
  <c r="I7" i="15"/>
  <c r="I6" i="15" s="1"/>
  <c r="K6" i="15" s="1"/>
  <c r="B90" i="6" s="1"/>
  <c r="I4" i="15"/>
  <c r="K4" i="15" s="1"/>
  <c r="B48" i="6" s="1"/>
  <c r="K15" i="14"/>
  <c r="K27" i="14"/>
  <c r="K24" i="14"/>
  <c r="K21" i="14"/>
  <c r="K13" i="14"/>
  <c r="K10" i="14"/>
  <c r="K8" i="14"/>
  <c r="K6" i="14"/>
  <c r="K4" i="14"/>
  <c r="B1" i="14"/>
  <c r="K52" i="15" l="1"/>
  <c r="K29" i="15"/>
  <c r="B87" i="6" s="1"/>
  <c r="K61" i="15"/>
  <c r="B22" i="6" s="1"/>
  <c r="K35" i="15"/>
  <c r="B77" i="6" s="1"/>
  <c r="K39" i="15"/>
  <c r="B76" i="6"/>
  <c r="K4" i="13"/>
  <c r="I5" i="13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9" i="14"/>
  <c r="F29" i="14"/>
  <c r="F53" i="14"/>
  <c r="F39" i="14"/>
  <c r="F23" i="14"/>
  <c r="F52" i="14"/>
  <c r="F50" i="14"/>
  <c r="G50" i="14" s="1"/>
  <c r="F46" i="14"/>
  <c r="F34" i="14"/>
  <c r="F30" i="14"/>
  <c r="F26" i="14"/>
  <c r="F22" i="14"/>
  <c r="F11" i="14"/>
  <c r="F54" i="14"/>
  <c r="F12" i="14"/>
  <c r="F48" i="14"/>
  <c r="F44" i="14"/>
  <c r="F40" i="14"/>
  <c r="F36" i="14"/>
  <c r="F32" i="14"/>
  <c r="F28" i="14"/>
  <c r="F20" i="14"/>
  <c r="F16" i="14"/>
  <c r="F7" i="14"/>
  <c r="F5" i="14"/>
  <c r="F37" i="14" l="1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G28" i="14"/>
  <c r="I28" i="14" s="1"/>
  <c r="G52" i="14"/>
  <c r="I52" i="14" s="1"/>
  <c r="G7" i="14"/>
  <c r="I7" i="14" s="1"/>
  <c r="I6" i="14" s="1"/>
  <c r="B103" i="6" s="1"/>
  <c r="G42" i="14"/>
  <c r="I42" i="14" s="1"/>
  <c r="G16" i="14"/>
  <c r="I16" i="14" s="1"/>
  <c r="I15" i="14" s="1"/>
  <c r="G46" i="14"/>
  <c r="I46" i="14" s="1"/>
  <c r="I45" i="14" s="1"/>
  <c r="K45" i="14" s="1"/>
  <c r="B99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G34" i="14"/>
  <c r="I34" i="14" s="1"/>
  <c r="G37" i="14"/>
  <c r="I37" i="14" s="1"/>
  <c r="G22" i="14"/>
  <c r="I22" i="14" s="1"/>
  <c r="I21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G19" i="14"/>
  <c r="I19" i="14" s="1"/>
  <c r="I18" i="14" s="1"/>
  <c r="K18" i="14" s="1"/>
  <c r="I50" i="14"/>
  <c r="J14" i="13"/>
  <c r="I10" i="14" l="1"/>
  <c r="I24" i="14"/>
  <c r="I27" i="14"/>
  <c r="B12" i="6" s="1"/>
  <c r="I35" i="14"/>
  <c r="K35" i="14" s="1"/>
  <c r="I47" i="14"/>
  <c r="K47" i="14" s="1"/>
  <c r="B47" i="6" s="1"/>
  <c r="I38" i="14"/>
  <c r="K38" i="14" s="1"/>
  <c r="I31" i="14"/>
  <c r="K31" i="14" s="1"/>
  <c r="B55" i="6" s="1"/>
  <c r="I51" i="14"/>
  <c r="K51" i="14" s="1"/>
  <c r="J30" i="13"/>
  <c r="J27" i="13"/>
  <c r="K27" i="13" l="1"/>
  <c r="K23" i="13"/>
  <c r="L28" i="13"/>
  <c r="L29" i="13"/>
  <c r="L26" i="13"/>
  <c r="B1" i="13" l="1"/>
  <c r="J19" i="13" l="1"/>
  <c r="E47" i="13" l="1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F40" i="13"/>
  <c r="G40" i="13" s="1"/>
  <c r="I40" i="13" s="1"/>
  <c r="I39" i="13" s="1"/>
  <c r="K39" i="13" s="1"/>
  <c r="B36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B20" i="6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57" i="6" s="1"/>
  <c r="F29" i="13"/>
  <c r="G29" i="13" s="1"/>
  <c r="I29" i="13" s="1"/>
  <c r="F7" i="13"/>
  <c r="G7" i="13" s="1"/>
  <c r="I7" i="13" s="1"/>
  <c r="I19" i="13" l="1"/>
  <c r="K19" i="13" s="1"/>
  <c r="I23" i="13"/>
  <c r="I8" i="13"/>
  <c r="K8" i="13" s="1"/>
  <c r="I4" i="13"/>
  <c r="I43" i="13"/>
  <c r="K43" i="13" s="1"/>
  <c r="I14" i="13"/>
  <c r="K14" i="13" s="1"/>
  <c r="B51" i="6" s="1"/>
  <c r="I30" i="13"/>
  <c r="K30" i="13" s="1"/>
  <c r="I27" i="13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79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9" i="6" s="1"/>
  <c r="F24" i="11"/>
  <c r="G24" i="11" s="1"/>
  <c r="I24" i="11" s="1"/>
  <c r="I23" i="11" s="1"/>
  <c r="K23" i="11" s="1"/>
  <c r="B30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6" i="6" s="1"/>
  <c r="F35" i="11"/>
  <c r="G35" i="11" s="1"/>
  <c r="I35" i="11" s="1"/>
  <c r="G20" i="11"/>
  <c r="I20" i="11" s="1"/>
  <c r="I19" i="11" s="1"/>
  <c r="K19" i="11" s="1"/>
  <c r="B68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3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102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52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83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33" i="6" s="1"/>
  <c r="I14" i="10"/>
  <c r="K14" i="10" s="1"/>
  <c r="B88" i="6" s="1"/>
  <c r="I40" i="10"/>
  <c r="K40" i="10" s="1"/>
  <c r="B27" i="6" s="1"/>
  <c r="I17" i="10"/>
  <c r="K17" i="10" s="1"/>
  <c r="B2" i="6" s="1"/>
  <c r="I9" i="10"/>
  <c r="K9" i="10" s="1"/>
  <c r="I24" i="10"/>
  <c r="K24" i="10" s="1"/>
  <c r="B50" i="6" s="1"/>
  <c r="I4" i="10"/>
  <c r="K4" i="10" s="1"/>
  <c r="I30" i="10"/>
  <c r="K30" i="10" s="1"/>
  <c r="I20" i="10"/>
  <c r="K20" i="10" s="1"/>
  <c r="B61" i="6" s="1"/>
  <c r="I49" i="10"/>
  <c r="K49" i="10" s="1"/>
  <c r="I46" i="10"/>
  <c r="K46" i="10" s="1"/>
  <c r="I34" i="10" l="1"/>
  <c r="K34" i="10" s="1"/>
  <c r="B7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98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95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2" i="6" s="1"/>
  <c r="I8" i="8"/>
  <c r="K8" i="8" s="1"/>
  <c r="I22" i="8"/>
  <c r="K22" i="8" s="1"/>
  <c r="J27" i="5"/>
  <c r="I28" i="8" l="1"/>
  <c r="K28" i="8" s="1"/>
  <c r="B8" i="6" s="1"/>
  <c r="I4" i="8"/>
  <c r="K4" i="8" s="1"/>
  <c r="I19" i="8"/>
  <c r="K19" i="8" s="1"/>
  <c r="B81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58" i="6" s="1"/>
  <c r="I13" i="7"/>
  <c r="K13" i="7" s="1"/>
  <c r="B11" i="6" s="1"/>
  <c r="I19" i="7"/>
  <c r="K19" i="7" s="1"/>
  <c r="I30" i="7"/>
  <c r="K30" i="7" s="1"/>
  <c r="B100" i="6" s="1"/>
  <c r="I9" i="7"/>
  <c r="K9" i="7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80" i="6" s="1"/>
  <c r="F11" i="5"/>
  <c r="G11" i="5" s="1"/>
  <c r="I11" i="5" s="1"/>
  <c r="I36" i="5"/>
  <c r="K36" i="5" s="1"/>
  <c r="I4" i="5" l="1"/>
  <c r="K4" i="5" s="1"/>
  <c r="B93" i="6" s="1"/>
  <c r="I24" i="5"/>
  <c r="K24" i="5" s="1"/>
  <c r="I9" i="5"/>
  <c r="K9" i="5" s="1"/>
  <c r="I21" i="5"/>
  <c r="K21" i="5" s="1"/>
  <c r="B53" i="6" s="1"/>
  <c r="I27" i="5"/>
  <c r="K27" i="5" s="1"/>
  <c r="I33" i="5"/>
  <c r="K33" i="5" s="1"/>
  <c r="B18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6" i="6" s="1"/>
  <c r="I20" i="4"/>
  <c r="I19" i="4" s="1"/>
  <c r="K19" i="4" s="1"/>
  <c r="I70" i="4"/>
  <c r="K70" i="4" s="1"/>
  <c r="B49" i="6" s="1"/>
  <c r="I66" i="4"/>
  <c r="K66" i="4" s="1"/>
  <c r="B71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44" i="6" s="1"/>
  <c r="I21" i="4"/>
  <c r="K21" i="4" s="1"/>
  <c r="I28" i="4"/>
  <c r="K28" i="4" s="1"/>
  <c r="B24" i="6" s="1"/>
  <c r="I24" i="4"/>
  <c r="K24" i="4" s="1"/>
  <c r="B19" i="6" s="1"/>
  <c r="K74" i="4"/>
  <c r="B43" i="6" s="1"/>
  <c r="K39" i="4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3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85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01" i="6" s="1"/>
  <c r="I37" i="3"/>
  <c r="K37" i="3" s="1"/>
  <c r="B7" i="6" s="1"/>
  <c r="I21" i="3"/>
  <c r="I26" i="3"/>
  <c r="K26" i="3" s="1"/>
  <c r="B78" i="6" s="1"/>
  <c r="I15" i="3"/>
  <c r="K15" i="3" s="1"/>
  <c r="I42" i="3"/>
  <c r="K42" i="3" s="1"/>
  <c r="B3" i="6" s="1"/>
  <c r="I32" i="3"/>
  <c r="K32" i="3" s="1"/>
  <c r="K6" i="3"/>
  <c r="B42" i="6" s="1"/>
  <c r="F46" i="2"/>
  <c r="G46" i="2" s="1"/>
  <c r="F27" i="2"/>
  <c r="G27" i="2" s="1"/>
  <c r="I27" i="2" s="1"/>
  <c r="I26" i="2" s="1"/>
  <c r="K26" i="2" s="1"/>
  <c r="B34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I22" i="2"/>
  <c r="K22" i="2" s="1"/>
  <c r="I5" i="2"/>
  <c r="K5" i="2" s="1"/>
  <c r="B9" i="6" s="1"/>
  <c r="I41" i="2"/>
  <c r="K41" i="2" s="1"/>
  <c r="B17" i="6" s="1"/>
  <c r="I35" i="2"/>
  <c r="K35" i="2" s="1"/>
  <c r="B63" i="6" s="1"/>
  <c r="I28" i="2"/>
  <c r="K28" i="2" s="1"/>
  <c r="I19" i="2"/>
  <c r="K19" i="2" s="1"/>
  <c r="B92" i="6" s="1"/>
  <c r="I15" i="2"/>
  <c r="K15" i="2" s="1"/>
  <c r="B94" i="6" s="1"/>
  <c r="I38" i="2"/>
  <c r="K38" i="2" s="1"/>
  <c r="B54" i="6" s="1"/>
  <c r="I10" i="2"/>
  <c r="K10" i="2" s="1"/>
  <c r="B37" i="6" s="1"/>
  <c r="I32" i="2"/>
  <c r="K32" i="2" s="1"/>
  <c r="B46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<sst xmlns="http://schemas.openxmlformats.org/spreadsheetml/2006/main" count="1045" uniqueCount="576">
  <si>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</si>
  <si>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</si>
  <si>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</si>
  <si>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</si>
  <si>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</si>
  <si>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</si>
  <si>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</si>
  <si>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</si>
  <si>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</si>
  <si>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</si>
  <si>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</si>
  <si>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</si>
  <si>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</si>
  <si>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</si>
  <si>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</si>
  <si>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</si>
  <si>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</si>
  <si>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</si>
  <si>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</si>
  <si>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</si>
  <si>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</si>
  <si>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</si>
  <si>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</si>
  <si>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</si>
  <si>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</si>
  <si>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</si>
  <si>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</si>
  <si>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</si>
  <si>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</si>
  <si>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</si>
  <si>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</si>
  <si>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</si>
  <si>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</si>
  <si>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</si>
  <si>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</si>
  <si>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</si>
  <si>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</si>
  <si>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</si>
  <si>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</si>
  <si>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</si>
  <si>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</si>
  <si>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</si>
  <si>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</si>
  <si>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</si>
  <si>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</si>
  <si>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</si>
  <si>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</si>
  <si>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</si>
  <si>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</si>
  <si>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</si>
  <si>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</si>
  <si>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</si>
  <si>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</si>
  <si>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</si>
  <si>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</si>
  <si>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</si>
  <si>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</si>
  <si>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</si>
  <si>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</si>
  <si>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</si>
  <si>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</si>
  <si>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</si>
  <si>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</si>
  <si>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</si>
  <si>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</si>
  <si>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</si>
  <si>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</si>
  <si>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</si>
  <si>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</si>
  <si>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</si>
  <si>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</si>
  <si>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</si>
  <si>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</si>
  <si>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</si>
  <si>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</si>
  <si>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</si>
  <si>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</si>
  <si>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</si>
  <si>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</si>
  <si>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</si>
  <si>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</si>
  <si>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</si>
  <si>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</si>
  <si>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</si>
  <si>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</si>
  <si>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</si>
  <si>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</si>
  <si>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</si>
  <si>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</si>
  <si>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</si>
  <si>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</si>
  <si>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</si>
  <si>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</si>
  <si>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</si>
  <si>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</si>
  <si>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</si>
  <si>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</si>
  <si>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</si>
  <si>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</si>
  <si>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</si>
  <si>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</si>
  <si>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</si>
  <si>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</si>
  <si>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</si>
  <si>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</si>
  <si>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</si>
  <si>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</si>
  <si>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</si>
  <si>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</si>
  <si>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</si>
  <si>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</si>
  <si>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</si>
  <si>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</si>
  <si>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</si>
  <si>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</si>
  <si>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</si>
  <si>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</si>
  <si>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</si>
  <si>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</si>
  <si>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</si>
  <si>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</si>
  <si>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</si>
  <si>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</si>
  <si>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</si>
  <si>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</si>
  <si>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</si>
  <si>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</si>
  <si>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</si>
  <si>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</si>
  <si>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</si>
  <si>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</si>
  <si>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</si>
  <si>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</si>
  <si>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</si>
  <si>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</si>
  <si>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</si>
  <si>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</si>
  <si>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</si>
  <si>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</si>
  <si>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</si>
  <si>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</si>
  <si>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</si>
  <si>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</si>
  <si>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</si>
  <si>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</si>
  <si>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</si>
  <si>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</si>
  <si>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</si>
  <si>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</si>
  <si>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</si>
  <si>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</si>
  <si>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</si>
  <si>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</si>
  <si>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</si>
  <si>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</si>
  <si>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</si>
  <si>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</si>
  <si>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</si>
  <si>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</si>
  <si>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</si>
  <si>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</si>
  <si>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</si>
  <si>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</si>
  <si>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</si>
  <si>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</si>
  <si>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</si>
  <si>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</si>
  <si>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</si>
  <si>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</si>
  <si>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</si>
  <si>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</si>
  <si>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</si>
  <si>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</si>
  <si>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</si>
  <si>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</si>
  <si>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</si>
  <si>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</si>
  <si>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</si>
  <si>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</si>
  <si>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</si>
  <si>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</si>
  <si>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</si>
  <si>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</si>
  <si>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</si>
  <si>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</si>
  <si>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</si>
  <si>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</si>
  <si>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</si>
  <si>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</si>
  <si>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</si>
  <si>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</si>
  <si>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</si>
  <si>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</si>
  <si>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</si>
  <si>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</si>
  <si>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</si>
  <si>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</si>
  <si>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</si>
  <si>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</si>
  <si>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</si>
  <si>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</si>
  <si>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</si>
  <si>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</si>
  <si>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</si>
  <si>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</si>
  <si>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</si>
  <si>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</si>
  <si>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</si>
  <si>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</si>
  <si>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</si>
  <si>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</si>
  <si>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</si>
  <si>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</si>
  <si>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</si>
  <si>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</si>
  <si>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</si>
  <si>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</si>
  <si>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</si>
  <si>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</si>
  <si>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</si>
  <si>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</si>
  <si>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</si>
  <si>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</si>
  <si>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</si>
  <si>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</si>
  <si>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</si>
  <si>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</si>
  <si>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</si>
  <si>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</si>
  <si>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</si>
  <si>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</si>
  <si>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</si>
  <si>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</si>
  <si>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</si>
  <si>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</si>
  <si>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</si>
  <si>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</si>
  <si>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</si>
  <si>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</si>
  <si>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</si>
  <si>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</si>
  <si>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</si>
  <si>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</si>
  <si>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</si>
  <si>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</si>
  <si>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</si>
  <si>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</si>
  <si>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</si>
  <si>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</si>
  <si>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</si>
  <si>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</si>
  <si>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</si>
  <si>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</si>
  <si>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</si>
  <si>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</si>
  <si>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</si>
  <si>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</si>
  <si>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</si>
  <si>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</si>
  <si>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</si>
  <si>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</si>
  <si>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</si>
  <si>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</si>
  <si>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</si>
  <si>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</si>
  <si>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</si>
  <si>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</si>
  <si>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</si>
  <si>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</si>
  <si>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</si>
  <si>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</si>
  <si>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</si>
  <si>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</si>
  <si>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</si>
  <si>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</si>
  <si>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</si>
  <si>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</si>
  <si>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</si>
  <si>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</si>
  <si>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</si>
  <si>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</si>
  <si>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</si>
  <si>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</si>
  <si>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</si>
  <si>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</si>
  <si>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</si>
  <si>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</si>
  <si>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</si>
  <si>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</si>
  <si>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</si>
  <si>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</si>
  <si>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</si>
  <si>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</si>
  <si>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</si>
  <si>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</si>
  <si>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</si>
  <si>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</si>
  <si>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</si>
  <si>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</si>
  <si>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</si>
  <si>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</si>
  <si>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</si>
  <si>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</si>
  <si>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</si>
  <si>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</si>
  <si>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</si>
  <si>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</si>
  <si>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</si>
  <si>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</si>
  <si>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</si>
  <si>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</si>
  <si>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</si>
  <si>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</si>
  <si>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</si>
  <si>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</si>
  <si>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</si>
  <si>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</si>
  <si>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</si>
  <si>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</si>
  <si>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</si>
  <si>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</si>
  <si>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</si>
  <si>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</si>
  <si>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</si>
  <si>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</si>
  <si>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</si>
  <si>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</si>
  <si>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</si>
  <si>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</si>
  <si>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</si>
  <si>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</si>
  <si>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</si>
  <si>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</si>
  <si>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</si>
  <si>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</si>
  <si>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</si>
  <si>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</si>
  <si>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</si>
  <si>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</si>
  <si>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</si>
  <si>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</si>
  <si>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</si>
  <si>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</si>
  <si>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</si>
  <si>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</si>
  <si>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</si>
  <si>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</si>
  <si>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</si>
  <si>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</si>
  <si>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</si>
  <si>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</si>
  <si>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</si>
  <si>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</si>
  <si>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</si>
  <si>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</si>
  <si>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</si>
  <si>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</si>
  <si>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</si>
  <si>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</si>
  <si>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</si>
  <si>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</si>
  <si>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</si>
  <si>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</si>
  <si>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</si>
  <si>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</si>
  <si>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</si>
  <si>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</si>
  <si>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</si>
  <si>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</si>
  <si>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</si>
  <si>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</si>
  <si>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</si>
  <si>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</si>
  <si>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</si>
  <si>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</si>
  <si>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</si>
  <si>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</si>
  <si>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</si>
  <si>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</si>
  <si>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</si>
  <si>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</si>
  <si>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</si>
  <si>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</si>
  <si>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</si>
  <si>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</si>
  <si>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</si>
  <si>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</si>
  <si>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</si>
  <si>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</si>
  <si>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</si>
  <si>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</si>
  <si>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</si>
  <si>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</si>
  <si>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</si>
  <si>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</si>
  <si>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</si>
  <si>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</si>
  <si>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</si>
  <si>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</si>
  <si>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</si>
  <si>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</si>
  <si>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</si>
  <si>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</si>
  <si>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</si>
  <si>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</si>
  <si>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</si>
  <si>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</si>
  <si>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</si>
  <si>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</si>
  <si>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</si>
  <si>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</si>
  <si>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</si>
  <si>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</si>
  <si>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</si>
  <si>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</si>
  <si>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</si>
  <si>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</si>
  <si>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</si>
  <si>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</si>
  <si>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</si>
  <si>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</si>
  <si>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</si>
  <si>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</si>
  <si>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</si>
  <si>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</si>
  <si>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</si>
  <si>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</si>
  <si>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</si>
  <si>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</si>
  <si>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</si>
  <si>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</si>
  <si>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</si>
  <si>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</si>
  <si>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</si>
  <si>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</si>
  <si>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</si>
  <si>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</si>
  <si>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</si>
  <si>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</si>
  <si>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</si>
  <si>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</si>
  <si>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</si>
  <si>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</si>
  <si>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</si>
  <si>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</si>
  <si>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</si>
  <si>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</si>
  <si>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</si>
  <si>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</si>
  <si>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</si>
  <si>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</si>
  <si>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</si>
  <si>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</si>
  <si>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</si>
  <si>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</si>
  <si>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</si>
  <si>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</si>
  <si>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</si>
  <si>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</si>
  <si>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</si>
  <si>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</si>
  <si>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</si>
  <si>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</si>
  <si>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</si>
  <si>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</si>
  <si>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</si>
  <si>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</si>
  <si>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</si>
  <si>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</si>
  <si>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</si>
  <si>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</si>
  <si>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</si>
  <si>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</si>
  <si>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</si>
  <si>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</si>
  <si>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</si>
  <si>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</si>
  <si>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</si>
  <si>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</si>
  <si>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</si>
  <si>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</si>
  <si>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</si>
  <si>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</si>
  <si>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</si>
  <si>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</si>
  <si>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</si>
  <si>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</si>
  <si>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</si>
  <si>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</si>
  <si>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</si>
  <si>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</si>
  <si>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</si>
  <si>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</si>
  <si>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</si>
  <si>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</si>
  <si>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</si>
  <si>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</si>
  <si>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</si>
  <si>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</si>
  <si>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</si>
  <si>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</si>
  <si>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</si>
  <si>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</si>
  <si>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</si>
  <si>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</si>
  <si>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</si>
  <si>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</si>
  <si>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</si>
  <si>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</si>
  <si>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13, 14</t>
  </si>
  <si>
    <t>12, 13, 14</t>
  </si>
  <si>
    <t>2, 13, 14</t>
  </si>
  <si>
    <t>2, 14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</si>
  <si>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</si>
  <si>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</si>
  <si>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</si>
  <si>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</si>
  <si>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</si>
  <si>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</si>
  <si>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</si>
  <si>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</si>
  <si>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</si>
  <si>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</si>
  <si>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</si>
  <si>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</si>
  <si>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</si>
  <si>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</si>
  <si>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</si>
  <si>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</si>
  <si>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</si>
  <si>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</si>
  <si>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</si>
  <si>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</si>
  <si>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</si>
  <si>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</si>
  <si>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</si>
  <si>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</si>
  <si>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</si>
  <si>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</si>
  <si>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</si>
  <si>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</si>
  <si>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</si>
  <si>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</si>
  <si>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</si>
  <si>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</si>
  <si>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</si>
  <si>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</si>
  <si>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</si>
  <si>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</si>
  <si>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</si>
  <si>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</si>
  <si>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</si>
  <si>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</si>
  <si>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</si>
  <si>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</si>
  <si>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</si>
  <si>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</si>
  <si>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</si>
  <si>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</si>
  <si>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</si>
  <si>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</si>
  <si>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</si>
  <si>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</si>
  <si>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6, 10, 11, 15</t>
  </si>
  <si>
    <t>2, 3, 4, 6, 8, 12, 15</t>
  </si>
  <si>
    <t>12, 15</t>
  </si>
  <si>
    <t>3, 4, 6, 7,9, 15</t>
  </si>
  <si>
    <t>4, 13, 14, 15</t>
  </si>
  <si>
    <t>14, 15</t>
  </si>
  <si>
    <t>13, 15</t>
  </si>
  <si>
    <t>13, 14, 15</t>
  </si>
  <si>
    <t>12, 14, 15</t>
  </si>
  <si>
    <t>12, 13, 15</t>
  </si>
  <si>
    <t>9,11, 15</t>
  </si>
  <si>
    <t>ориг.тара</t>
  </si>
  <si>
    <t>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</si>
</sst>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56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182880"/>
    <xdr:sp macro="" textlink="">
      <xdr:nvSpPr>
        <xdr:cNvPr id="17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2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10" workbookViewId="0">
      <selection activeCell="A72" sqref="A72"/>
    </sheetView>
  </sheetViews>
  <sheetFormatPr defaultRowHeight="14.5" x14ac:dyDescent="0.35"/>
  <cols>
    <col min="1" max="1" width="20.7265625" style="130" customWidth="1"/>
    <col min="2" max="2" width="17.26953125" style="41" customWidth="1"/>
    <col min="3" max="3" width="16" style="41" customWidth="1"/>
  </cols>
  <sheetData>
    <row r="1" spans="1:4" ht="40.5" customHeight="1" x14ac:dyDescent="0.35">
      <c r="A1" s="127" t="s">
        <v>169</v>
      </c>
      <c r="B1" s="69" t="s">
        <v>170</v>
      </c>
      <c r="C1" s="69" t="s">
        <v>172</v>
      </c>
      <c r="D1" s="70" t="s">
        <v>171</v>
      </c>
    </row>
    <row r="2" spans="1:4" x14ac:dyDescent="0.35">
      <c r="A2" s="128">
        <v>51150</v>
      </c>
      <c r="B2" s="34">
        <f>'9'!K17</f>
        <v>2.2024084363238217E-2</v>
      </c>
      <c r="C2" s="6">
        <v>9</v>
      </c>
    </row>
    <row r="3" spans="1:4" x14ac:dyDescent="0.35">
      <c r="A3" s="129" t="s">
        <v>99</v>
      </c>
      <c r="B3" s="34">
        <f>'3'!K42+'4'!K33+'9'!K38</f>
        <v>-7.9377163718951351</v>
      </c>
      <c r="C3" s="6" t="s">
        <v>332</v>
      </c>
    </row>
    <row r="4" spans="1:4" x14ac:dyDescent="0.35">
      <c r="A4" s="9" t="s">
        <v>529</v>
      </c>
      <c r="B4" s="34">
        <f>'15'!K28</f>
        <v>-39.778506290679388</v>
      </c>
      <c r="C4" s="6">
        <v>15</v>
      </c>
    </row>
    <row r="5" spans="1:4" x14ac:dyDescent="0.35">
      <c r="A5" s="9" t="s">
        <v>216</v>
      </c>
      <c r="B5" s="34">
        <f>'6'!K9+'10'!K11+'11'!K13+'15'!K81</f>
        <v>-178.56480461884712</v>
      </c>
      <c r="C5" s="6" t="s">
        <v>563</v>
      </c>
    </row>
    <row r="6" spans="1:4" x14ac:dyDescent="0.35">
      <c r="A6" s="9" t="s">
        <v>544</v>
      </c>
      <c r="B6" s="34">
        <f>'15'!K51</f>
        <v>-90.44187887203816</v>
      </c>
      <c r="C6" s="6">
        <v>15</v>
      </c>
    </row>
    <row r="7" spans="1:4" x14ac:dyDescent="0.35">
      <c r="A7" s="129" t="s">
        <v>94</v>
      </c>
      <c r="B7" s="34">
        <f>'3'!K37+'8'!K14</f>
        <v>-3.8651789382897732</v>
      </c>
      <c r="C7" s="6" t="s">
        <v>285</v>
      </c>
    </row>
    <row r="8" spans="1:4" x14ac:dyDescent="0.35">
      <c r="A8" s="129" t="s">
        <v>260</v>
      </c>
      <c r="B8" s="34">
        <f>'7n'!K28</f>
        <v>0.19436787907420694</v>
      </c>
      <c r="C8" s="6">
        <v>7</v>
      </c>
    </row>
    <row r="9" spans="1:4" x14ac:dyDescent="0.35">
      <c r="A9" s="129" t="s">
        <v>18</v>
      </c>
      <c r="B9" s="34">
        <f>'2'!K5</f>
        <v>-18.360362166064988</v>
      </c>
      <c r="C9" s="6">
        <v>2</v>
      </c>
    </row>
    <row r="10" spans="1:4" x14ac:dyDescent="0.35">
      <c r="A10" s="125" t="s">
        <v>482</v>
      </c>
      <c r="B10" s="34">
        <f>'13'!K24+'14'!K16</f>
        <v>-9.33099685944768</v>
      </c>
      <c r="C10" s="6" t="s">
        <v>509</v>
      </c>
    </row>
    <row r="11" spans="1:4" x14ac:dyDescent="0.35">
      <c r="A11" s="129" t="s">
        <v>220</v>
      </c>
      <c r="B11" s="34">
        <f>'6'!K13</f>
        <v>56.724288616462218</v>
      </c>
      <c r="C11" s="6">
        <v>6</v>
      </c>
    </row>
    <row r="12" spans="1:4" x14ac:dyDescent="0.35">
      <c r="A12" s="125" t="s">
        <v>449</v>
      </c>
      <c r="B12" s="34">
        <f>'13'!K27</f>
        <v>-6.72987149164328E-3</v>
      </c>
      <c r="C12" s="6">
        <v>13</v>
      </c>
    </row>
    <row r="13" spans="1:4" x14ac:dyDescent="0.35">
      <c r="A13" s="129" t="s">
        <v>77</v>
      </c>
      <c r="B13" s="34">
        <f>'3'!K13</f>
        <v>20.366267281105991</v>
      </c>
      <c r="C13" s="6">
        <v>3</v>
      </c>
    </row>
    <row r="14" spans="1:4" x14ac:dyDescent="0.35">
      <c r="A14" s="9" t="s">
        <v>283</v>
      </c>
      <c r="B14" s="34">
        <f>'2'!K22+'3'!K32+'4'!K37+'6'!K7+'8'!K24+'12'!K19+'15'!K65</f>
        <v>-239.51066003680688</v>
      </c>
      <c r="C14" s="6" t="s">
        <v>564</v>
      </c>
    </row>
    <row r="15" spans="1:4" x14ac:dyDescent="0.35">
      <c r="A15" s="9" t="s">
        <v>524</v>
      </c>
      <c r="B15" s="34">
        <f>'15'!K18</f>
        <v>-21.138386290679477</v>
      </c>
      <c r="C15" s="6">
        <v>15</v>
      </c>
    </row>
    <row r="16" spans="1:4" x14ac:dyDescent="0.35">
      <c r="A16" s="129" t="s">
        <v>146</v>
      </c>
      <c r="B16" s="34">
        <f>'4'!K55+'5'!K24</f>
        <v>1.4832353088727359</v>
      </c>
      <c r="C16" s="6" t="s">
        <v>209</v>
      </c>
    </row>
    <row r="17" spans="1:3" x14ac:dyDescent="0.35">
      <c r="A17" s="129" t="s">
        <v>54</v>
      </c>
      <c r="B17" s="34">
        <f>'2'!K41+'8'!K4</f>
        <v>0.23645473267038142</v>
      </c>
      <c r="C17" s="6" t="s">
        <v>284</v>
      </c>
    </row>
    <row r="18" spans="1:3" x14ac:dyDescent="0.35">
      <c r="A18" s="129" t="s">
        <v>201</v>
      </c>
      <c r="B18" s="34">
        <f>'5'!K33</f>
        <v>0.14392093673404815</v>
      </c>
      <c r="C18" s="6">
        <v>5</v>
      </c>
    </row>
    <row r="19" spans="1:3" x14ac:dyDescent="0.35">
      <c r="A19" s="129" t="s">
        <v>122</v>
      </c>
      <c r="B19" s="34">
        <f>'4'!K24</f>
        <v>-0.19496901104821518</v>
      </c>
      <c r="C19" s="6">
        <v>4</v>
      </c>
    </row>
    <row r="20" spans="1:3" x14ac:dyDescent="0.35">
      <c r="A20" s="125" t="s">
        <v>143</v>
      </c>
      <c r="B20" s="34">
        <f>'4'!K50+'5'!K36+'6'!K19+'7n'!K33+'8'!K18+'11'!K16+'12'!K33</f>
        <v>6.0736406817109128</v>
      </c>
      <c r="C20" s="6" t="s">
        <v>425</v>
      </c>
    </row>
    <row r="21" spans="1:3" x14ac:dyDescent="0.35">
      <c r="A21" s="9" t="s">
        <v>521</v>
      </c>
      <c r="B21" s="34">
        <f>'15'!K14</f>
        <v>-35.297053594271688</v>
      </c>
      <c r="C21" s="6">
        <v>15</v>
      </c>
    </row>
    <row r="22" spans="1:3" x14ac:dyDescent="0.35">
      <c r="A22" s="125" t="s">
        <v>438</v>
      </c>
      <c r="B22" s="34">
        <f>'12'!K23+'13'!K15+'14'!K61</f>
        <v>24.25875409505943</v>
      </c>
      <c r="C22" s="6" t="s">
        <v>510</v>
      </c>
    </row>
    <row r="23" spans="1:3" x14ac:dyDescent="0.35">
      <c r="A23" s="129" t="s">
        <v>337</v>
      </c>
      <c r="B23" s="34">
        <f>'10'!K4+'11'!K10</f>
        <v>38.703111418328263</v>
      </c>
      <c r="C23" s="6" t="s">
        <v>385</v>
      </c>
    </row>
    <row r="24" spans="1:3" x14ac:dyDescent="0.35">
      <c r="A24" s="129" t="s">
        <v>126</v>
      </c>
      <c r="B24" s="34">
        <f>'4'!K28+'9'!K9</f>
        <v>0.29688413578378459</v>
      </c>
      <c r="C24" s="6">
        <v>4.9000000000000004</v>
      </c>
    </row>
    <row r="25" spans="1:3" x14ac:dyDescent="0.35">
      <c r="A25" s="9" t="s">
        <v>422</v>
      </c>
      <c r="B25" s="34">
        <f>'12'!K41+'15'!K16</f>
        <v>-45.893329655762273</v>
      </c>
      <c r="C25" s="6" t="s">
        <v>565</v>
      </c>
    </row>
    <row r="26" spans="1:3" x14ac:dyDescent="0.35">
      <c r="A26" s="129" t="s">
        <v>348</v>
      </c>
      <c r="B26" s="34">
        <f>'10'!K21</f>
        <v>1.5995609988053729</v>
      </c>
      <c r="C26" s="6">
        <v>10</v>
      </c>
    </row>
    <row r="27" spans="1:3" x14ac:dyDescent="0.35">
      <c r="A27" s="129" t="s">
        <v>320</v>
      </c>
      <c r="B27" s="34">
        <f>'9'!K40</f>
        <v>0.46922662433371443</v>
      </c>
      <c r="C27" s="6">
        <v>9</v>
      </c>
    </row>
    <row r="28" spans="1:3" x14ac:dyDescent="0.35">
      <c r="A28" s="9" t="s">
        <v>13</v>
      </c>
      <c r="B28" s="34">
        <f>'3'!K21+'4'!K62+'6'!K27+'7n'!K19+'9'!K4+'15'!K42</f>
        <v>-69.031173962798277</v>
      </c>
      <c r="C28" s="6" t="s">
        <v>566</v>
      </c>
    </row>
    <row r="29" spans="1:3" x14ac:dyDescent="0.35">
      <c r="A29" s="9" t="s">
        <v>533</v>
      </c>
      <c r="B29" s="34">
        <f>'15'!K36</f>
        <v>-92.780196512329439</v>
      </c>
      <c r="C29" s="6">
        <v>15</v>
      </c>
    </row>
    <row r="30" spans="1:3" x14ac:dyDescent="0.35">
      <c r="A30" s="129" t="s">
        <v>350</v>
      </c>
      <c r="B30" s="34">
        <f>'10'!K23</f>
        <v>3.2743230371329446</v>
      </c>
      <c r="C30" s="6">
        <v>10</v>
      </c>
    </row>
    <row r="31" spans="1:3" x14ac:dyDescent="0.35">
      <c r="A31" s="9" t="s">
        <v>433</v>
      </c>
      <c r="B31" s="34">
        <f>'4'!K45+'13'!K8+'14'!K18+'15'!K30</f>
        <v>-28.250980811519639</v>
      </c>
      <c r="C31" s="6" t="s">
        <v>567</v>
      </c>
    </row>
    <row r="32" spans="1:3" x14ac:dyDescent="0.35">
      <c r="A32" s="129" t="s">
        <v>257</v>
      </c>
      <c r="B32" s="34">
        <f>'7n'!K25</f>
        <v>0.3532323638573871</v>
      </c>
      <c r="C32" s="6">
        <v>7</v>
      </c>
    </row>
    <row r="33" spans="1:3" x14ac:dyDescent="0.35">
      <c r="A33" s="129" t="s">
        <v>327</v>
      </c>
      <c r="B33" s="34">
        <f>'9'!K51</f>
        <v>0.12960947953297364</v>
      </c>
      <c r="C33" s="6">
        <v>9</v>
      </c>
    </row>
    <row r="34" spans="1:3" x14ac:dyDescent="0.35">
      <c r="A34" s="129" t="s">
        <v>41</v>
      </c>
      <c r="B34" s="34">
        <f>'2'!K26+'4'!K12+'10'!K30</f>
        <v>4.7255136871676768</v>
      </c>
      <c r="C34" s="6" t="s">
        <v>363</v>
      </c>
    </row>
    <row r="35" spans="1:3" x14ac:dyDescent="0.35">
      <c r="A35" s="125" t="s">
        <v>42</v>
      </c>
      <c r="B35" s="34">
        <f>'2'!K28+'13'!K4+'14'!K24</f>
        <v>10.150760020069583</v>
      </c>
      <c r="C35" s="6" t="s">
        <v>511</v>
      </c>
    </row>
    <row r="36" spans="1:3" x14ac:dyDescent="0.35">
      <c r="A36" s="125" t="s">
        <v>420</v>
      </c>
      <c r="B36" s="34">
        <f>'12'!K39</f>
        <v>117.27201612050521</v>
      </c>
      <c r="C36" s="6">
        <v>12</v>
      </c>
    </row>
    <row r="37" spans="1:3" x14ac:dyDescent="0.35">
      <c r="A37" s="129" t="s">
        <v>23</v>
      </c>
      <c r="B37" s="34">
        <f>'2'!K10+'4'!K53</f>
        <v>-0.16346633469470362</v>
      </c>
      <c r="C37" s="6" t="s">
        <v>173</v>
      </c>
    </row>
    <row r="38" spans="1:3" x14ac:dyDescent="0.35">
      <c r="A38" s="125" t="s">
        <v>488</v>
      </c>
      <c r="B38" s="34">
        <f>'14'!K26</f>
        <v>5.4163701639623696</v>
      </c>
      <c r="C38" s="6">
        <v>14</v>
      </c>
    </row>
    <row r="39" spans="1:3" x14ac:dyDescent="0.35">
      <c r="A39" s="129" t="s">
        <v>352</v>
      </c>
      <c r="B39" s="34">
        <f>'10'!K25</f>
        <v>6.7334881928322829</v>
      </c>
      <c r="C39" s="6">
        <v>10</v>
      </c>
    </row>
    <row r="40" spans="1:3" x14ac:dyDescent="0.35">
      <c r="A40" s="125" t="s">
        <v>480</v>
      </c>
      <c r="B40" s="34">
        <f>'2'!K8+'14'!K12</f>
        <v>5.4113598210019518</v>
      </c>
      <c r="C40" s="6" t="s">
        <v>512</v>
      </c>
    </row>
    <row r="41" spans="1:3" x14ac:dyDescent="0.35">
      <c r="A41" s="9" t="s">
        <v>492</v>
      </c>
      <c r="B41" s="34">
        <f>'14'!K32+'15'!K6</f>
        <v>-50.79120927205679</v>
      </c>
      <c r="C41" s="6" t="s">
        <v>568</v>
      </c>
    </row>
    <row r="42" spans="1:3" x14ac:dyDescent="0.35">
      <c r="A42" s="129" t="s">
        <v>70</v>
      </c>
      <c r="B42" s="34">
        <f>'3'!K6+'4'!K39+'5'!K9</f>
        <v>1.4198148523973941E-3</v>
      </c>
      <c r="C42" s="6" t="s">
        <v>208</v>
      </c>
    </row>
    <row r="43" spans="1:3" x14ac:dyDescent="0.35">
      <c r="A43" s="129" t="s">
        <v>161</v>
      </c>
      <c r="B43" s="34">
        <f>'4'!K74+'7n'!K22+'10'!K33+'11'!K27</f>
        <v>0.40293986497340484</v>
      </c>
      <c r="C43" s="6" t="s">
        <v>387</v>
      </c>
    </row>
    <row r="44" spans="1:3" x14ac:dyDescent="0.35">
      <c r="A44" s="129" t="s">
        <v>114</v>
      </c>
      <c r="B44" s="34">
        <f>'4'!K7+'5'!K31+'6'!K17</f>
        <v>9.4405335253607063</v>
      </c>
      <c r="C44" s="6" t="s">
        <v>234</v>
      </c>
    </row>
    <row r="45" spans="1:3" x14ac:dyDescent="0.35">
      <c r="A45" s="125" t="s">
        <v>417</v>
      </c>
      <c r="B45" s="34">
        <f>'12'!K35+'13'!K38+'14'!K8</f>
        <v>6.1287711189152105E-2</v>
      </c>
      <c r="C45" s="6" t="s">
        <v>510</v>
      </c>
    </row>
    <row r="46" spans="1:3" x14ac:dyDescent="0.35">
      <c r="A46" s="129" t="s">
        <v>46</v>
      </c>
      <c r="B46" s="34">
        <f>'2'!K32</f>
        <v>2.9856063537904447</v>
      </c>
      <c r="C46" s="6">
        <v>2</v>
      </c>
    </row>
    <row r="47" spans="1:3" x14ac:dyDescent="0.35">
      <c r="A47" s="125" t="s">
        <v>464</v>
      </c>
      <c r="B47" s="34">
        <f>'13'!K47</f>
        <v>24.597895717930896</v>
      </c>
      <c r="C47" s="6">
        <v>13</v>
      </c>
    </row>
    <row r="48" spans="1:3" x14ac:dyDescent="0.35">
      <c r="A48" s="125" t="s">
        <v>474</v>
      </c>
      <c r="B48" s="34">
        <f>'14'!K4</f>
        <v>6.9642760114356861</v>
      </c>
      <c r="C48" s="6">
        <v>14</v>
      </c>
    </row>
    <row r="49" spans="1:5" x14ac:dyDescent="0.35">
      <c r="A49" s="129" t="s">
        <v>157</v>
      </c>
      <c r="B49" s="34">
        <f>'4'!K70</f>
        <v>-44.924969011048233</v>
      </c>
      <c r="C49" s="6">
        <v>4</v>
      </c>
    </row>
    <row r="50" spans="1:5" x14ac:dyDescent="0.35">
      <c r="A50" s="129" t="s">
        <v>308</v>
      </c>
      <c r="B50" s="34">
        <f>'9'!K24</f>
        <v>-0.4461356162823904</v>
      </c>
      <c r="C50" s="6">
        <v>9</v>
      </c>
    </row>
    <row r="51" spans="1:5" x14ac:dyDescent="0.35">
      <c r="A51" s="125" t="s">
        <v>401</v>
      </c>
      <c r="B51" s="34">
        <f>'12'!K14</f>
        <v>0.49839650907597388</v>
      </c>
      <c r="C51" s="6">
        <v>12</v>
      </c>
    </row>
    <row r="52" spans="1:5" x14ac:dyDescent="0.35">
      <c r="A52" s="129" t="s">
        <v>324</v>
      </c>
      <c r="B52" s="34">
        <f>'9'!K44</f>
        <v>-0.31687810409346184</v>
      </c>
      <c r="C52" s="6">
        <v>9</v>
      </c>
    </row>
    <row r="53" spans="1:5" x14ac:dyDescent="0.35">
      <c r="A53" s="129" t="s">
        <v>192</v>
      </c>
      <c r="B53" s="34">
        <f>'5'!K21+'10'!K15</f>
        <v>200.86276228898441</v>
      </c>
      <c r="C53" s="6" t="s">
        <v>362</v>
      </c>
    </row>
    <row r="54" spans="1:5" x14ac:dyDescent="0.35">
      <c r="A54" s="129" t="s">
        <v>51</v>
      </c>
      <c r="B54" s="34">
        <f>'4'!K19+'2'!K38</f>
        <v>-25.262903624603268</v>
      </c>
      <c r="C54" s="6" t="s">
        <v>173</v>
      </c>
    </row>
    <row r="55" spans="1:5" x14ac:dyDescent="0.35">
      <c r="A55" s="125" t="s">
        <v>196</v>
      </c>
      <c r="B55" s="34">
        <f>'5'!K27+'8'!K9+'9'!K30+'11'!K19+'12'!K4+'13'!K31</f>
        <v>38.61418126058652</v>
      </c>
      <c r="C55" s="6" t="s">
        <v>471</v>
      </c>
    </row>
    <row r="56" spans="1:5" x14ac:dyDescent="0.35">
      <c r="A56" s="9" t="s">
        <v>443</v>
      </c>
      <c r="B56" s="34">
        <f>'13'!K21+'15'!K69</f>
        <v>-168.52378267966105</v>
      </c>
      <c r="C56" s="6" t="s">
        <v>569</v>
      </c>
    </row>
    <row r="57" spans="1:5" x14ac:dyDescent="0.35">
      <c r="A57" s="125" t="s">
        <v>419</v>
      </c>
      <c r="B57" s="34">
        <f>'12'!K37</f>
        <v>19.183126273724156</v>
      </c>
      <c r="C57" s="6">
        <v>12</v>
      </c>
    </row>
    <row r="58" spans="1:5" x14ac:dyDescent="0.35">
      <c r="A58" s="129" t="s">
        <v>213</v>
      </c>
      <c r="B58" s="34">
        <f>'6'!K4+'11'!K22</f>
        <v>39.97462349811417</v>
      </c>
      <c r="C58" s="6">
        <v>6.11</v>
      </c>
    </row>
    <row r="59" spans="1:5" x14ac:dyDescent="0.35">
      <c r="A59" s="9" t="s">
        <v>501</v>
      </c>
      <c r="B59" s="34">
        <f>'14'!K52+'15'!K20</f>
        <v>-25.024184161565131</v>
      </c>
      <c r="C59" s="6" t="s">
        <v>568</v>
      </c>
    </row>
    <row r="60" spans="1:5" x14ac:dyDescent="0.35">
      <c r="A60" s="9" t="s">
        <v>436</v>
      </c>
      <c r="B60" s="34">
        <f>'13'!K13+'14'!K14+'15'!K24</f>
        <v>-39.173592288860391</v>
      </c>
      <c r="C60" s="6" t="s">
        <v>570</v>
      </c>
    </row>
    <row r="61" spans="1:5" x14ac:dyDescent="0.35">
      <c r="A61" s="129" t="s">
        <v>304</v>
      </c>
      <c r="B61" s="34">
        <f>'9'!K20</f>
        <v>-3.4623199909219693E-2</v>
      </c>
      <c r="C61" s="6">
        <v>9</v>
      </c>
    </row>
    <row r="62" spans="1:5" x14ac:dyDescent="0.35">
      <c r="A62" s="9" t="s">
        <v>497</v>
      </c>
      <c r="B62" s="34">
        <f>'14'!K43+'15'!K8</f>
        <v>-27.749778120444262</v>
      </c>
      <c r="C62" s="6" t="s">
        <v>568</v>
      </c>
    </row>
    <row r="63" spans="1:5" x14ac:dyDescent="0.35">
      <c r="A63" s="129" t="s">
        <v>12</v>
      </c>
      <c r="B63" s="34">
        <f>'3'!K15+'4'!K14+'2'!K35+'8'!K21</f>
        <v>-3.5721767072118382E-2</v>
      </c>
      <c r="C63" s="6" t="s">
        <v>286</v>
      </c>
      <c r="D63" s="100"/>
      <c r="E63" s="100"/>
    </row>
    <row r="64" spans="1:5" x14ac:dyDescent="0.35">
      <c r="A64" s="9" t="s">
        <v>528</v>
      </c>
      <c r="B64" s="34">
        <f>'15'!K26</f>
        <v>-28.778506290679388</v>
      </c>
      <c r="C64" s="6">
        <v>15</v>
      </c>
    </row>
    <row r="65" spans="1:5" x14ac:dyDescent="0.35">
      <c r="A65" s="9" t="s">
        <v>484</v>
      </c>
      <c r="B65" s="34">
        <f>'14'!K20+'15'!K57</f>
        <v>-128.55450199875531</v>
      </c>
      <c r="C65" s="6" t="s">
        <v>568</v>
      </c>
    </row>
    <row r="66" spans="1:5" x14ac:dyDescent="0.35">
      <c r="A66" s="9" t="s">
        <v>413</v>
      </c>
      <c r="B66" s="34">
        <f>'12'!K27+'14'!K39+'15'!K10</f>
        <v>-37.20648917737492</v>
      </c>
      <c r="C66" s="6" t="s">
        <v>571</v>
      </c>
      <c r="D66" s="100"/>
      <c r="E66" s="100"/>
    </row>
    <row r="67" spans="1:5" x14ac:dyDescent="0.35">
      <c r="A67" s="125" t="s">
        <v>485</v>
      </c>
      <c r="B67" s="34">
        <f>'13'!K18+'14'!K22</f>
        <v>12.997451980227652</v>
      </c>
      <c r="C67" s="6" t="s">
        <v>509</v>
      </c>
    </row>
    <row r="68" spans="1:5" x14ac:dyDescent="0.35">
      <c r="A68" s="129" t="s">
        <v>346</v>
      </c>
      <c r="B68" s="34">
        <f>'10'!K19</f>
        <v>2.1991219976107459</v>
      </c>
      <c r="C68" s="6">
        <v>10</v>
      </c>
      <c r="D68" s="100"/>
      <c r="E68" s="100"/>
    </row>
    <row r="69" spans="1:5" x14ac:dyDescent="0.35">
      <c r="A69" s="9" t="s">
        <v>395</v>
      </c>
      <c r="B69" s="34">
        <f>'12'!K8+'13'!K51+'15'!K12</f>
        <v>-45.884357326635154</v>
      </c>
      <c r="C69" s="6" t="s">
        <v>572</v>
      </c>
      <c r="D69" s="100"/>
      <c r="E69" s="100"/>
    </row>
    <row r="70" spans="1:5" x14ac:dyDescent="0.35">
      <c r="A70" s="129" t="s">
        <v>316</v>
      </c>
      <c r="B70" s="34">
        <f>'9'!K34</f>
        <v>-0.33867921533055778</v>
      </c>
      <c r="C70" s="6">
        <v>9</v>
      </c>
      <c r="D70" s="100"/>
      <c r="E70" s="100"/>
    </row>
    <row r="71" spans="1:5" x14ac:dyDescent="0.35">
      <c r="A71" s="129" t="s">
        <v>153</v>
      </c>
      <c r="B71" s="34">
        <f>'4'!K66</f>
        <v>-0.31894233360253565</v>
      </c>
      <c r="C71" s="6">
        <v>4</v>
      </c>
    </row>
    <row r="72" spans="1:5" x14ac:dyDescent="0.35">
      <c r="A72" s="9" t="s">
        <v>536</v>
      </c>
      <c r="B72" s="34">
        <f>'15'!K39</f>
        <v>-108.02425889617462</v>
      </c>
      <c r="C72" s="6">
        <v>15</v>
      </c>
    </row>
    <row r="73" spans="1:5" x14ac:dyDescent="0.35">
      <c r="A73" s="125" t="s">
        <v>498</v>
      </c>
      <c r="B73" s="34">
        <f>'14'!K46</f>
        <v>7.4998697459436698</v>
      </c>
      <c r="C73" s="6">
        <v>14</v>
      </c>
    </row>
    <row r="74" spans="1:5" x14ac:dyDescent="0.35">
      <c r="A74" s="9" t="s">
        <v>546</v>
      </c>
      <c r="B74" s="34">
        <f>'15'!K54</f>
        <v>-48.895066290679438</v>
      </c>
      <c r="C74" s="6">
        <v>15</v>
      </c>
    </row>
    <row r="75" spans="1:5" x14ac:dyDescent="0.35">
      <c r="A75" s="9" t="s">
        <v>555</v>
      </c>
      <c r="B75" s="34">
        <f>'15'!K61</f>
        <v>-215.38351719216371</v>
      </c>
      <c r="C75" s="6">
        <v>15</v>
      </c>
    </row>
    <row r="76" spans="1:5" x14ac:dyDescent="0.35">
      <c r="A76" s="125" t="s">
        <v>478</v>
      </c>
      <c r="B76" s="34">
        <f>'14'!K10</f>
        <v>-0.10499683603757148</v>
      </c>
      <c r="C76" s="6">
        <v>14</v>
      </c>
    </row>
    <row r="77" spans="1:5" x14ac:dyDescent="0.35">
      <c r="A77" s="125" t="s">
        <v>434</v>
      </c>
      <c r="B77" s="34">
        <f>'13'!K10+'14'!K35</f>
        <v>11.487939710014416</v>
      </c>
      <c r="C77" s="6" t="s">
        <v>509</v>
      </c>
    </row>
    <row r="78" spans="1:5" x14ac:dyDescent="0.35">
      <c r="A78" s="129" t="s">
        <v>85</v>
      </c>
      <c r="B78" s="34">
        <f>'3'!K26+'4'!K64+'6'!K25+'7n'!K16</f>
        <v>-0.39478098394704375</v>
      </c>
      <c r="C78" s="6" t="s">
        <v>266</v>
      </c>
    </row>
    <row r="79" spans="1:5" x14ac:dyDescent="0.35">
      <c r="A79" s="129" t="s">
        <v>365</v>
      </c>
      <c r="B79" s="34">
        <f>'11'!K4</f>
        <v>0.20821044310650905</v>
      </c>
      <c r="C79" s="6">
        <v>11</v>
      </c>
    </row>
    <row r="80" spans="1:5" x14ac:dyDescent="0.35">
      <c r="A80" s="129" t="s">
        <v>180</v>
      </c>
      <c r="B80" s="34">
        <f>'5'!K7</f>
        <v>-0.47683953163289061</v>
      </c>
      <c r="C80" s="6">
        <v>5</v>
      </c>
    </row>
    <row r="81" spans="1:3" x14ac:dyDescent="0.35">
      <c r="A81" s="129" t="s">
        <v>239</v>
      </c>
      <c r="B81" s="34">
        <f>'7n'!K4+'8'!K26</f>
        <v>0.23651123391709916</v>
      </c>
      <c r="C81" s="6" t="s">
        <v>287</v>
      </c>
    </row>
    <row r="82" spans="1:3" x14ac:dyDescent="0.35">
      <c r="A82" s="9" t="s">
        <v>530</v>
      </c>
      <c r="B82" s="34">
        <f>'15'!K32</f>
        <v>-39.778506290679388</v>
      </c>
      <c r="C82" s="6">
        <v>15</v>
      </c>
    </row>
    <row r="83" spans="1:3" x14ac:dyDescent="0.35">
      <c r="A83" s="129" t="s">
        <v>293</v>
      </c>
      <c r="B83" s="34">
        <f>'9'!K7</f>
        <v>-0.17658169860533235</v>
      </c>
      <c r="C83" s="6">
        <v>9</v>
      </c>
    </row>
    <row r="84" spans="1:3" x14ac:dyDescent="0.35">
      <c r="A84" s="125" t="s">
        <v>503</v>
      </c>
      <c r="B84" s="34">
        <f>'14'!K56</f>
        <v>549.64392800185487</v>
      </c>
      <c r="C84" s="6">
        <v>14</v>
      </c>
    </row>
    <row r="85" spans="1:3" x14ac:dyDescent="0.35">
      <c r="A85" s="129" t="s">
        <v>68</v>
      </c>
      <c r="B85" s="34">
        <f>'3'!K4+'4'!K21+'7n'!K8+'9'!K55+'10'!K27+'11'!K25</f>
        <v>6.6792845085452655</v>
      </c>
      <c r="C85" s="6" t="s">
        <v>386</v>
      </c>
    </row>
    <row r="86" spans="1:3" x14ac:dyDescent="0.35">
      <c r="A86" s="9" t="s">
        <v>499</v>
      </c>
      <c r="B86" s="34">
        <f>'14'!K49+'15'!K22</f>
        <v>-25.674620399396076</v>
      </c>
      <c r="C86" s="6" t="s">
        <v>568</v>
      </c>
    </row>
    <row r="87" spans="1:3" x14ac:dyDescent="0.35">
      <c r="A87" s="125" t="s">
        <v>490</v>
      </c>
      <c r="B87" s="34">
        <f>'14'!K29</f>
        <v>4.8741311639623746</v>
      </c>
      <c r="C87" s="6">
        <v>14</v>
      </c>
    </row>
    <row r="88" spans="1:3" x14ac:dyDescent="0.35">
      <c r="A88" s="129" t="s">
        <v>299</v>
      </c>
      <c r="B88" s="34">
        <f>'9'!K14</f>
        <v>0.44137680009089308</v>
      </c>
      <c r="C88" s="6">
        <v>9</v>
      </c>
    </row>
    <row r="89" spans="1:3" x14ac:dyDescent="0.35">
      <c r="A89" s="9" t="s">
        <v>542</v>
      </c>
      <c r="B89" s="34">
        <f>'15'!K48</f>
        <v>-75.59683258135874</v>
      </c>
      <c r="C89" s="6">
        <v>15</v>
      </c>
    </row>
    <row r="90" spans="1:3" x14ac:dyDescent="0.35">
      <c r="A90" s="125" t="s">
        <v>414</v>
      </c>
      <c r="B90" s="34">
        <f>'12'!K30+'13'!K35+'14'!K6</f>
        <v>1.8997636812342762</v>
      </c>
      <c r="C90" s="6" t="s">
        <v>510</v>
      </c>
    </row>
    <row r="91" spans="1:3" x14ac:dyDescent="0.35">
      <c r="A91" s="9" t="s">
        <v>531</v>
      </c>
      <c r="B91" s="34">
        <f>'15'!K34</f>
        <v>-42.651746290679398</v>
      </c>
      <c r="C91" s="6">
        <v>15</v>
      </c>
    </row>
    <row r="92" spans="1:3" x14ac:dyDescent="0.35">
      <c r="A92" s="129" t="s">
        <v>35</v>
      </c>
      <c r="B92" s="34">
        <f>'2'!K19</f>
        <v>9.6842599277806585E-2</v>
      </c>
      <c r="C92" s="6">
        <v>2</v>
      </c>
    </row>
    <row r="93" spans="1:3" x14ac:dyDescent="0.35">
      <c r="A93" s="129" t="s">
        <v>177</v>
      </c>
      <c r="B93" s="34">
        <f>'5'!K4</f>
        <v>8.6885068531046272E-2</v>
      </c>
      <c r="C93" s="6">
        <v>5</v>
      </c>
    </row>
    <row r="94" spans="1:3" x14ac:dyDescent="0.35">
      <c r="A94" s="129" t="s">
        <v>31</v>
      </c>
      <c r="B94" s="34">
        <f>'2'!K15</f>
        <v>-0.41264548736489814</v>
      </c>
      <c r="C94" s="6">
        <v>2</v>
      </c>
    </row>
    <row r="95" spans="1:3" x14ac:dyDescent="0.35">
      <c r="A95" s="129" t="s">
        <v>247</v>
      </c>
      <c r="B95" s="34">
        <f>'7n'!K12</f>
        <v>0.43503569741551473</v>
      </c>
      <c r="C95" s="6">
        <v>7</v>
      </c>
    </row>
    <row r="96" spans="1:3" x14ac:dyDescent="0.35">
      <c r="A96" s="9" t="s">
        <v>541</v>
      </c>
      <c r="B96" s="34">
        <f>'15'!K45</f>
        <v>-62.527639436019172</v>
      </c>
      <c r="C96" s="6">
        <v>15</v>
      </c>
    </row>
    <row r="97" spans="1:3" x14ac:dyDescent="0.35">
      <c r="A97" s="9" t="s">
        <v>325</v>
      </c>
      <c r="B97" s="34">
        <f>'9'!K46+'11'!K29+'15'!K4</f>
        <v>-27.520811841780414</v>
      </c>
      <c r="C97" s="6" t="s">
        <v>573</v>
      </c>
    </row>
    <row r="98" spans="1:3" x14ac:dyDescent="0.35">
      <c r="A98" s="129" t="s">
        <v>262</v>
      </c>
      <c r="B98" s="34">
        <f>'7n'!K31</f>
        <v>0.39930327282547751</v>
      </c>
      <c r="C98" s="6">
        <v>7</v>
      </c>
    </row>
    <row r="99" spans="1:3" x14ac:dyDescent="0.35">
      <c r="A99" s="125" t="s">
        <v>462</v>
      </c>
      <c r="B99" s="34">
        <f>'13'!K45</f>
        <v>9.5999425284156814</v>
      </c>
      <c r="C99" s="6">
        <v>13</v>
      </c>
    </row>
    <row r="100" spans="1:3" x14ac:dyDescent="0.35">
      <c r="A100" s="129" t="s">
        <v>230</v>
      </c>
      <c r="B100" s="34">
        <f>'6'!K30+'9'!K49</f>
        <v>-7.7019570843958718E-2</v>
      </c>
      <c r="C100" s="6">
        <v>6.9</v>
      </c>
    </row>
    <row r="101" spans="1:3" x14ac:dyDescent="0.35">
      <c r="A101" s="129" t="s">
        <v>81</v>
      </c>
      <c r="B101" s="34">
        <f>'3'!K18</f>
        <v>116.85769585253456</v>
      </c>
      <c r="C101" s="6">
        <v>3</v>
      </c>
    </row>
    <row r="102" spans="1:3" x14ac:dyDescent="0.35">
      <c r="A102" s="129" t="s">
        <v>297</v>
      </c>
      <c r="B102" s="34">
        <f>'9'!K12</f>
        <v>0.48790588502106402</v>
      </c>
      <c r="C102" s="6">
        <v>9</v>
      </c>
    </row>
    <row r="103" spans="1:3" x14ac:dyDescent="0.35">
      <c r="A103" s="125" t="s">
        <v>431</v>
      </c>
      <c r="B103" s="34">
        <f>'13'!K6</f>
        <v>-6.6377807207144315</v>
      </c>
      <c r="C103" s="6">
        <v>13</v>
      </c>
    </row>
  </sheetData>
  <sortState ref="A2:E166">
    <sortCondition ref="A2:A166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290</v>
      </c>
      <c r="K1" s="97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291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29" x14ac:dyDescent="0.35">
      <c r="A6" s="18" t="s">
        <v>292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35">
      <c r="A7" s="9" t="s">
        <v>293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1" t="s">
        <v>294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295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5" x14ac:dyDescent="0.35">
      <c r="A11" s="91" t="s">
        <v>296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35">
      <c r="A12" s="9" t="s">
        <v>297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298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35">
      <c r="A14" s="9" t="s">
        <v>299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35">
      <c r="A15" s="91" t="s">
        <v>300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29" x14ac:dyDescent="0.35">
      <c r="A16" s="18" t="s">
        <v>301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3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335</v>
      </c>
    </row>
    <row r="18" spans="1:12" ht="24" x14ac:dyDescent="0.35">
      <c r="A18" s="91" t="s">
        <v>302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x14ac:dyDescent="0.35">
      <c r="A19" s="76" t="s">
        <v>303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35">
      <c r="A20" s="9" t="s">
        <v>304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305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35">
      <c r="A22" s="18" t="s">
        <v>306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35">
      <c r="A23" s="18" t="s">
        <v>307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35">
      <c r="A24" s="9" t="s">
        <v>308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305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35">
      <c r="A26" s="18" t="s">
        <v>309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35">
      <c r="A27" s="18" t="s">
        <v>310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35">
      <c r="A28" s="18" t="s">
        <v>311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x14ac:dyDescent="0.35">
      <c r="A29" s="18" t="s">
        <v>312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333</v>
      </c>
    </row>
    <row r="31" spans="1:12" x14ac:dyDescent="0.35">
      <c r="A31" s="18" t="s">
        <v>313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35">
      <c r="A32" s="18" t="s">
        <v>314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35">
      <c r="A33" s="76" t="s">
        <v>315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35">
      <c r="A34" s="9" t="s">
        <v>316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35">
      <c r="A36" s="18" t="s">
        <v>317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35">
      <c r="A37" s="18" t="s">
        <v>318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319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35">
      <c r="A40" s="9" t="s">
        <v>320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334</v>
      </c>
    </row>
    <row r="41" spans="1:12" ht="29" x14ac:dyDescent="0.35">
      <c r="A41" s="76" t="s">
        <v>321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35">
      <c r="A42" s="18" t="s">
        <v>322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x14ac:dyDescent="0.35">
      <c r="A43" s="18" t="s">
        <v>323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35">
      <c r="A44" s="9" t="s">
        <v>324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301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35">
      <c r="A46" s="9" t="s">
        <v>325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305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35">
      <c r="A48" s="98" t="s">
        <v>331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326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35">
      <c r="A51" s="9" t="s">
        <v>327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306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29" x14ac:dyDescent="0.35">
      <c r="A53" s="18" t="s">
        <v>328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35">
      <c r="A54" s="98" t="s">
        <v>331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336</v>
      </c>
    </row>
    <row r="56" spans="1:12" ht="29" x14ac:dyDescent="0.35">
      <c r="A56" s="68" t="s">
        <v>329</v>
      </c>
      <c r="B56" s="101">
        <v>1</v>
      </c>
      <c r="C56" s="101"/>
      <c r="D56" s="102">
        <f t="shared" ref="D56:D57" si="29">B56*C56*0.1</f>
        <v>0</v>
      </c>
      <c r="E56" s="101"/>
      <c r="F56" s="103">
        <f>E56/$E$60*$F$60</f>
        <v>0</v>
      </c>
      <c r="G56" s="103">
        <f t="shared" ref="G56:G59" si="30">(B56*C56)*$B$1+D56*$B$1+F56*$B$1</f>
        <v>0</v>
      </c>
      <c r="H56" s="101"/>
      <c r="I56" s="104">
        <f>H56-G56</f>
        <v>0</v>
      </c>
      <c r="J56" s="105"/>
      <c r="K56" s="106"/>
    </row>
    <row r="57" spans="1:12" ht="43.5" x14ac:dyDescent="0.35">
      <c r="A57" s="18" t="s">
        <v>330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3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3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3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35">
      <c r="A62" s="134" t="s">
        <v>210</v>
      </c>
      <c r="B62" s="135"/>
      <c r="C62" s="135"/>
      <c r="D62" s="135"/>
      <c r="E62" s="135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290</v>
      </c>
      <c r="K1" s="97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107" t="s">
        <v>337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8" t="s">
        <v>338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35">
      <c r="A6" s="108" t="s">
        <v>339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35">
      <c r="A7" s="24" t="s">
        <v>306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35">
      <c r="A8" s="109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35">
      <c r="A9" s="108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35">
      <c r="A10" s="108" t="s">
        <v>340</v>
      </c>
      <c r="B10" s="110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35">
      <c r="A11" s="107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8" t="s">
        <v>341</v>
      </c>
      <c r="B12" s="112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35">
      <c r="A13" s="108" t="s">
        <v>342</v>
      </c>
      <c r="B13" s="112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35">
      <c r="A14" s="108" t="s">
        <v>343</v>
      </c>
      <c r="B14" s="108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35">
      <c r="A15" s="107" t="s">
        <v>192</v>
      </c>
      <c r="B15" s="107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8" t="s">
        <v>344</v>
      </c>
      <c r="B16" s="108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35">
      <c r="A17" s="108" t="s">
        <v>345</v>
      </c>
      <c r="B17" s="108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35">
      <c r="A18" s="108" t="s">
        <v>361</v>
      </c>
      <c r="B18" s="108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35">
      <c r="A19" s="107" t="s">
        <v>346</v>
      </c>
      <c r="B19" s="107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8" t="s">
        <v>347</v>
      </c>
      <c r="B20" s="112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35">
      <c r="A21" s="107" t="s">
        <v>348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8" t="s">
        <v>349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35">
      <c r="A23" s="107" t="s">
        <v>350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1" t="s">
        <v>351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35">
      <c r="A25" s="107" t="s">
        <v>352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1" t="s">
        <v>353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35">
      <c r="A27" s="107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8" t="s">
        <v>354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35">
      <c r="A29" s="108" t="s">
        <v>355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35">
      <c r="A30" s="107" t="s">
        <v>356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35">
      <c r="A31" s="108" t="s">
        <v>338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35">
      <c r="A32" s="108" t="s">
        <v>357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35">
      <c r="A33" s="107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358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35">
      <c r="A35" s="3" t="s">
        <v>359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3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3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3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35">
      <c r="A40" s="136" t="s">
        <v>360</v>
      </c>
      <c r="B40" s="137"/>
      <c r="C40" s="137"/>
      <c r="D40" s="137"/>
      <c r="E40" s="137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290</v>
      </c>
      <c r="K1" s="97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365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366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35">
      <c r="A6" s="3" t="s">
        <v>367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35">
      <c r="A7" s="3" t="s">
        <v>368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35">
      <c r="A8" s="3" t="s">
        <v>369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35">
      <c r="A9" s="3" t="s">
        <v>370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35">
      <c r="A10" s="9" t="s">
        <v>337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371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35">
      <c r="A12" s="3" t="s">
        <v>372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373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35">
      <c r="A15" s="3" t="s">
        <v>374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375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35">
      <c r="A18" s="3" t="s">
        <v>376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8" t="s">
        <v>377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35">
      <c r="A21" s="98" t="s">
        <v>378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35">
      <c r="A22" s="9" t="s">
        <v>379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35">
      <c r="A23" s="3" t="s">
        <v>380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35">
      <c r="A24" s="3" t="s">
        <v>381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8" t="s">
        <v>382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383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35">
      <c r="A29" s="9" t="s">
        <v>325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388</v>
      </c>
    </row>
    <row r="30" spans="1:12" x14ac:dyDescent="0.35">
      <c r="A30" s="3" t="s">
        <v>384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3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3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3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134" t="s">
        <v>210</v>
      </c>
      <c r="B35" s="135"/>
      <c r="C35" s="135"/>
      <c r="D35" s="135"/>
      <c r="E35" s="135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290</v>
      </c>
      <c r="K1" s="117">
        <v>42915</v>
      </c>
    </row>
    <row r="2" spans="1:12" ht="21" x14ac:dyDescent="0.5">
      <c r="A2" s="8" t="s">
        <v>267</v>
      </c>
    </row>
    <row r="3" spans="1:12" ht="45.75" customHeight="1" x14ac:dyDescent="0.3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426</v>
      </c>
    </row>
    <row r="4" spans="1:12" x14ac:dyDescent="0.3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8" t="s">
        <v>392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427</v>
      </c>
    </row>
    <row r="6" spans="1:12" x14ac:dyDescent="0.35">
      <c r="A6" s="3" t="s">
        <v>393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35">
      <c r="A7" s="3" t="s">
        <v>394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35">
      <c r="A8" s="9" t="s">
        <v>395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396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35">
      <c r="A10" s="3" t="s">
        <v>397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35">
      <c r="A11" s="3" t="s">
        <v>398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35">
      <c r="A12" s="3" t="s">
        <v>399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35">
      <c r="A13" s="3" t="s">
        <v>400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35">
      <c r="A14" s="9" t="s">
        <v>401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429</v>
      </c>
    </row>
    <row r="15" spans="1:12" x14ac:dyDescent="0.35">
      <c r="A15" s="113" t="s">
        <v>402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35">
      <c r="A16" s="113" t="s">
        <v>403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35">
      <c r="A17" s="113" t="s">
        <v>404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35">
      <c r="A18" s="113" t="s">
        <v>405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406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427</v>
      </c>
    </row>
    <row r="21" spans="1:12" x14ac:dyDescent="0.35">
      <c r="A21" s="3" t="s">
        <v>407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427</v>
      </c>
    </row>
    <row r="22" spans="1:12" x14ac:dyDescent="0.35">
      <c r="A22" s="3" t="s">
        <v>408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427</v>
      </c>
    </row>
    <row r="23" spans="1:12" x14ac:dyDescent="0.35">
      <c r="A23" s="9" t="s">
        <v>409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3" t="s">
        <v>410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35">
      <c r="A25" s="113" t="s">
        <v>411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35">
      <c r="A26" s="98" t="s">
        <v>412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9">
        <f>10*2</f>
        <v>20</v>
      </c>
    </row>
    <row r="27" spans="1:12" x14ac:dyDescent="0.35">
      <c r="A27" s="9" t="s">
        <v>413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406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9">
        <f>10+10</f>
        <v>20</v>
      </c>
    </row>
    <row r="29" spans="1:12" x14ac:dyDescent="0.35">
      <c r="A29" s="3" t="s">
        <v>407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9">
        <f>11+11</f>
        <v>22</v>
      </c>
    </row>
    <row r="30" spans="1:12" x14ac:dyDescent="0.35">
      <c r="A30" s="9" t="s">
        <v>414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3" t="s">
        <v>415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35">
      <c r="A32" s="98" t="s">
        <v>416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408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428</v>
      </c>
    </row>
    <row r="35" spans="1:12" x14ac:dyDescent="0.35">
      <c r="A35" s="9" t="s">
        <v>417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8" t="s">
        <v>418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35">
      <c r="A37" s="9" t="s">
        <v>419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8" t="s">
        <v>418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35">
      <c r="A39" s="9" t="s">
        <v>420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8" t="s">
        <v>421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35">
      <c r="A41" s="9" t="s">
        <v>422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8" t="s">
        <v>423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3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134" t="s">
        <v>389</v>
      </c>
      <c r="B50" s="135"/>
      <c r="C50" s="135"/>
      <c r="D50" s="135"/>
      <c r="E50" s="135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290</v>
      </c>
      <c r="K1" s="117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426</v>
      </c>
    </row>
    <row r="4" spans="1:13" x14ac:dyDescent="0.35">
      <c r="A4" s="9" t="s">
        <v>42</v>
      </c>
      <c r="B4" s="9"/>
      <c r="C4" s="9"/>
      <c r="D4" s="84"/>
      <c r="E4" s="9"/>
      <c r="F4" s="10"/>
      <c r="G4" s="10"/>
      <c r="H4" s="123"/>
      <c r="I4" s="120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472</v>
      </c>
    </row>
    <row r="5" spans="1:13" x14ac:dyDescent="0.35">
      <c r="A5" s="98" t="s">
        <v>430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3"/>
      <c r="I5" s="124">
        <f>H5-G5</f>
        <v>-605.27556144142886</v>
      </c>
      <c r="J5" s="6"/>
      <c r="K5" s="3"/>
    </row>
    <row r="6" spans="1:13" x14ac:dyDescent="0.35">
      <c r="A6" s="9" t="s">
        <v>431</v>
      </c>
      <c r="B6" s="9"/>
      <c r="C6" s="9"/>
      <c r="D6" s="84"/>
      <c r="E6" s="9"/>
      <c r="F6" s="9"/>
      <c r="G6" s="9"/>
      <c r="H6" s="123"/>
      <c r="I6" s="121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472</v>
      </c>
    </row>
    <row r="7" spans="1:13" x14ac:dyDescent="0.35">
      <c r="A7" s="98" t="s">
        <v>432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3"/>
      <c r="I7" s="124">
        <f t="shared" ref="I7:I55" si="2">H7-G7</f>
        <v>-302.63778072071443</v>
      </c>
      <c r="J7" s="6"/>
      <c r="K7" s="3"/>
    </row>
    <row r="8" spans="1:13" x14ac:dyDescent="0.35">
      <c r="A8" s="9" t="s">
        <v>433</v>
      </c>
      <c r="B8" s="9"/>
      <c r="C8" s="9"/>
      <c r="D8" s="84"/>
      <c r="E8" s="9"/>
      <c r="F8" s="9"/>
      <c r="G8" s="9"/>
      <c r="H8" s="123"/>
      <c r="I8" s="121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472</v>
      </c>
    </row>
    <row r="9" spans="1:13" x14ac:dyDescent="0.35">
      <c r="A9" s="98" t="s">
        <v>432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3"/>
      <c r="I9" s="124">
        <f t="shared" si="2"/>
        <v>-302.63778072071443</v>
      </c>
      <c r="J9" s="6"/>
      <c r="K9" s="3"/>
    </row>
    <row r="10" spans="1:13" x14ac:dyDescent="0.35">
      <c r="A10" s="9" t="s">
        <v>434</v>
      </c>
      <c r="B10" s="9"/>
      <c r="C10" s="9"/>
      <c r="D10" s="84"/>
      <c r="E10" s="9"/>
      <c r="F10" s="9"/>
      <c r="G10" s="9"/>
      <c r="H10" s="123"/>
      <c r="I10" s="121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472</v>
      </c>
    </row>
    <row r="11" spans="1:13" x14ac:dyDescent="0.35">
      <c r="A11" s="98" t="s">
        <v>435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3"/>
      <c r="I11" s="124">
        <f t="shared" si="2"/>
        <v>-907.91334216214341</v>
      </c>
      <c r="J11" s="6"/>
      <c r="K11" s="3"/>
    </row>
    <row r="12" spans="1:13" x14ac:dyDescent="0.35">
      <c r="A12" s="3" t="s">
        <v>468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3"/>
      <c r="I12" s="124">
        <f>H12-G12</f>
        <v>-797.97480539318019</v>
      </c>
      <c r="J12" s="6"/>
      <c r="K12" s="3"/>
    </row>
    <row r="13" spans="1:13" x14ac:dyDescent="0.35">
      <c r="A13" s="9" t="s">
        <v>436</v>
      </c>
      <c r="B13" s="9"/>
      <c r="C13" s="9"/>
      <c r="D13" s="84"/>
      <c r="E13" s="9"/>
      <c r="F13" s="9"/>
      <c r="G13" s="9"/>
      <c r="H13" s="123"/>
      <c r="I13" s="121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472</v>
      </c>
    </row>
    <row r="14" spans="1:13" x14ac:dyDescent="0.35">
      <c r="A14" s="3" t="s">
        <v>437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3"/>
      <c r="I14" s="124">
        <f t="shared" si="2"/>
        <v>-854.20561116214333</v>
      </c>
      <c r="J14" s="6"/>
      <c r="K14" s="3"/>
    </row>
    <row r="15" spans="1:13" x14ac:dyDescent="0.35">
      <c r="A15" s="9" t="s">
        <v>438</v>
      </c>
      <c r="B15" s="9"/>
      <c r="C15" s="9"/>
      <c r="D15" s="84"/>
      <c r="E15" s="9"/>
      <c r="F15" s="9"/>
      <c r="G15" s="9"/>
      <c r="H15" s="123"/>
      <c r="I15" s="121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439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3"/>
      <c r="I16" s="124">
        <f t="shared" si="2"/>
        <v>-827.97625416214339</v>
      </c>
      <c r="J16" s="6"/>
      <c r="K16" s="3"/>
      <c r="L16">
        <v>11</v>
      </c>
      <c r="M16" t="s">
        <v>472</v>
      </c>
    </row>
    <row r="17" spans="1:13" x14ac:dyDescent="0.35">
      <c r="A17" s="3" t="s">
        <v>437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3"/>
      <c r="I17" s="124">
        <f t="shared" si="2"/>
        <v>-854.20561116214333</v>
      </c>
      <c r="J17" s="6"/>
      <c r="K17" s="3"/>
      <c r="L17">
        <v>10</v>
      </c>
      <c r="M17" t="s">
        <v>472</v>
      </c>
    </row>
    <row r="18" spans="1:13" x14ac:dyDescent="0.35">
      <c r="A18" s="9" t="s">
        <v>440</v>
      </c>
      <c r="B18" s="9"/>
      <c r="C18" s="9"/>
      <c r="D18" s="84"/>
      <c r="E18" s="9"/>
      <c r="F18" s="9"/>
      <c r="G18" s="9"/>
      <c r="H18" s="123"/>
      <c r="I18" s="121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473</v>
      </c>
    </row>
    <row r="19" spans="1:13" x14ac:dyDescent="0.35">
      <c r="A19" s="3" t="s">
        <v>441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3"/>
      <c r="I19" s="124">
        <f t="shared" si="2"/>
        <v>-1138.9408148828579</v>
      </c>
      <c r="J19" s="6"/>
      <c r="K19" s="3"/>
    </row>
    <row r="20" spans="1:13" x14ac:dyDescent="0.35">
      <c r="A20" s="98" t="s">
        <v>442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3"/>
      <c r="I20" s="124">
        <f t="shared" si="2"/>
        <v>-1103.9683388828578</v>
      </c>
      <c r="J20" s="6"/>
      <c r="K20" s="3"/>
    </row>
    <row r="21" spans="1:13" x14ac:dyDescent="0.35">
      <c r="A21" s="9" t="s">
        <v>443</v>
      </c>
      <c r="B21" s="9"/>
      <c r="C21" s="9"/>
      <c r="D21" s="84"/>
      <c r="E21" s="9"/>
      <c r="F21" s="9"/>
      <c r="G21" s="9"/>
      <c r="H21" s="123"/>
      <c r="I21" s="121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8" t="s">
        <v>444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3"/>
      <c r="I22" s="124">
        <f t="shared" si="2"/>
        <v>-907.91334216214341</v>
      </c>
      <c r="J22" s="6"/>
      <c r="K22" s="3"/>
      <c r="L22" t="s">
        <v>473</v>
      </c>
    </row>
    <row r="23" spans="1:13" x14ac:dyDescent="0.35">
      <c r="A23" s="98" t="s">
        <v>445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3"/>
      <c r="I23" s="124">
        <f t="shared" si="2"/>
        <v>-1210.5511228828577</v>
      </c>
      <c r="J23" s="6"/>
      <c r="K23" s="3"/>
      <c r="L23">
        <v>10</v>
      </c>
      <c r="M23" t="s">
        <v>472</v>
      </c>
    </row>
    <row r="24" spans="1:13" x14ac:dyDescent="0.35">
      <c r="A24" s="9" t="s">
        <v>446</v>
      </c>
      <c r="B24" s="9"/>
      <c r="C24" s="9"/>
      <c r="D24" s="84"/>
      <c r="E24" s="9"/>
      <c r="F24" s="9"/>
      <c r="G24" s="9"/>
      <c r="H24" s="123"/>
      <c r="I24" s="121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472</v>
      </c>
    </row>
    <row r="25" spans="1:13" x14ac:dyDescent="0.35">
      <c r="A25" s="98" t="s">
        <v>447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3"/>
      <c r="I25" s="124">
        <f t="shared" si="2"/>
        <v>-275.99208472071444</v>
      </c>
      <c r="J25" s="6"/>
      <c r="K25" s="3"/>
    </row>
    <row r="26" spans="1:13" x14ac:dyDescent="0.35">
      <c r="A26" s="98" t="s">
        <v>448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3"/>
      <c r="I26" s="124">
        <f t="shared" si="2"/>
        <v>-302.63778072071443</v>
      </c>
      <c r="J26" s="6"/>
      <c r="K26" s="3"/>
    </row>
    <row r="27" spans="1:13" x14ac:dyDescent="0.35">
      <c r="A27" s="9" t="s">
        <v>449</v>
      </c>
      <c r="B27" s="9"/>
      <c r="C27" s="9"/>
      <c r="D27" s="84"/>
      <c r="E27" s="9"/>
      <c r="F27" s="9"/>
      <c r="G27" s="9"/>
      <c r="H27" s="123"/>
      <c r="I27" s="121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8" t="s">
        <v>447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3"/>
      <c r="I28" s="124">
        <f t="shared" si="2"/>
        <v>-551.98416944142889</v>
      </c>
      <c r="J28" s="6"/>
      <c r="K28" s="3"/>
      <c r="L28">
        <v>11</v>
      </c>
      <c r="M28" t="s">
        <v>472</v>
      </c>
    </row>
    <row r="29" spans="1:13" x14ac:dyDescent="0.35">
      <c r="A29" s="98" t="s">
        <v>448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3"/>
      <c r="I29" s="124">
        <f t="shared" si="2"/>
        <v>-605.27556144142886</v>
      </c>
      <c r="J29" s="6"/>
      <c r="K29" s="3"/>
      <c r="L29">
        <v>10</v>
      </c>
      <c r="M29" t="s">
        <v>472</v>
      </c>
    </row>
    <row r="30" spans="1:13" x14ac:dyDescent="0.35">
      <c r="A30" s="98" t="s">
        <v>450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3"/>
      <c r="I30" s="124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4"/>
      <c r="E31" s="9"/>
      <c r="F31" s="9"/>
      <c r="G31" s="9"/>
      <c r="H31" s="123"/>
      <c r="I31" s="121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35">
      <c r="A32" s="98" t="s">
        <v>451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3"/>
      <c r="I32" s="124">
        <f t="shared" si="2"/>
        <v>-913.6190089886336</v>
      </c>
      <c r="J32" s="6"/>
      <c r="K32" s="3"/>
    </row>
    <row r="33" spans="1:11" x14ac:dyDescent="0.35">
      <c r="A33" s="98" t="s">
        <v>452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3"/>
      <c r="I33" s="124">
        <f t="shared" si="2"/>
        <v>-1031.1645174715843</v>
      </c>
      <c r="J33" s="6"/>
      <c r="K33" s="3"/>
    </row>
    <row r="34" spans="1:11" x14ac:dyDescent="0.35">
      <c r="A34" s="98" t="s">
        <v>453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3"/>
      <c r="I34" s="124">
        <f t="shared" si="2"/>
        <v>-1542.7837123590814</v>
      </c>
      <c r="J34" s="6"/>
      <c r="K34" s="3"/>
    </row>
    <row r="35" spans="1:11" x14ac:dyDescent="0.35">
      <c r="A35" s="9" t="s">
        <v>414</v>
      </c>
      <c r="B35" s="9"/>
      <c r="C35" s="9"/>
      <c r="D35" s="84"/>
      <c r="E35" s="9"/>
      <c r="F35" s="9"/>
      <c r="G35" s="9"/>
      <c r="H35" s="123"/>
      <c r="I35" s="121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35">
      <c r="A36" s="113" t="s">
        <v>454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3"/>
      <c r="I36" s="124">
        <f t="shared" si="2"/>
        <v>-286.93796359545343</v>
      </c>
      <c r="J36" s="6"/>
      <c r="K36" s="3"/>
    </row>
    <row r="37" spans="1:11" x14ac:dyDescent="0.35">
      <c r="A37" s="3" t="s">
        <v>455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3"/>
      <c r="I37" s="124">
        <f t="shared" si="2"/>
        <v>-2389.5048239318025</v>
      </c>
      <c r="J37" s="6"/>
      <c r="K37" s="3"/>
    </row>
    <row r="38" spans="1:11" x14ac:dyDescent="0.35">
      <c r="A38" s="9" t="s">
        <v>417</v>
      </c>
      <c r="B38" s="9"/>
      <c r="C38" s="9"/>
      <c r="D38" s="84"/>
      <c r="E38" s="9"/>
      <c r="F38" s="9"/>
      <c r="G38" s="9"/>
      <c r="H38" s="123"/>
      <c r="I38" s="121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35">
      <c r="A39" s="3" t="s">
        <v>456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3"/>
      <c r="I39" s="124">
        <f t="shared" si="2"/>
        <v>-11109.193528225469</v>
      </c>
      <c r="J39" s="6"/>
      <c r="K39" s="3"/>
    </row>
    <row r="40" spans="1:11" ht="29" x14ac:dyDescent="0.35">
      <c r="A40" s="18" t="s">
        <v>457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3"/>
      <c r="I40" s="124">
        <f t="shared" si="2"/>
        <v>-3393.2236928601251</v>
      </c>
      <c r="J40" s="6"/>
      <c r="K40" s="3"/>
    </row>
    <row r="41" spans="1:11" ht="29" x14ac:dyDescent="0.35">
      <c r="A41" s="18" t="s">
        <v>458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3"/>
      <c r="I41" s="124">
        <f t="shared" si="2"/>
        <v>-913.40005747158432</v>
      </c>
      <c r="J41" s="6"/>
      <c r="K41" s="3"/>
    </row>
    <row r="42" spans="1:11" x14ac:dyDescent="0.35">
      <c r="A42" s="3" t="s">
        <v>459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3"/>
      <c r="I42" s="124">
        <f t="shared" si="2"/>
        <v>-2156.3549839318025</v>
      </c>
      <c r="J42" s="6"/>
      <c r="K42" s="3"/>
    </row>
    <row r="43" spans="1:11" x14ac:dyDescent="0.35">
      <c r="A43" s="3" t="s">
        <v>460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3"/>
      <c r="I43" s="124">
        <f t="shared" si="2"/>
        <v>-2156.3549839318025</v>
      </c>
      <c r="J43" s="6"/>
      <c r="K43" s="3"/>
    </row>
    <row r="44" spans="1:11" x14ac:dyDescent="0.35">
      <c r="A44" s="98" t="s">
        <v>461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3"/>
      <c r="I44" s="124">
        <f t="shared" si="2"/>
        <v>-797.97480539318019</v>
      </c>
      <c r="J44" s="6"/>
      <c r="K44" s="3"/>
    </row>
    <row r="45" spans="1:11" x14ac:dyDescent="0.35">
      <c r="A45" s="9" t="s">
        <v>462</v>
      </c>
      <c r="B45" s="9"/>
      <c r="C45" s="9"/>
      <c r="D45" s="84"/>
      <c r="E45" s="9"/>
      <c r="F45" s="9"/>
      <c r="G45" s="9"/>
      <c r="H45" s="123"/>
      <c r="I45" s="121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35">
      <c r="A46" s="98" t="s">
        <v>463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3"/>
      <c r="I46" s="124">
        <f t="shared" si="2"/>
        <v>-913.40005747158432</v>
      </c>
      <c r="J46" s="6"/>
      <c r="K46" s="3"/>
    </row>
    <row r="47" spans="1:11" x14ac:dyDescent="0.35">
      <c r="A47" s="9" t="s">
        <v>464</v>
      </c>
      <c r="B47" s="9"/>
      <c r="C47" s="9"/>
      <c r="D47" s="84"/>
      <c r="E47" s="9"/>
      <c r="F47" s="9"/>
      <c r="G47" s="9"/>
      <c r="H47" s="123"/>
      <c r="I47" s="121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35">
      <c r="A48" s="98" t="s">
        <v>465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3"/>
      <c r="I48" s="124">
        <f t="shared" si="2"/>
        <v>-760.4271725840872</v>
      </c>
      <c r="J48" s="6"/>
      <c r="K48" s="3"/>
    </row>
    <row r="49" spans="1:12" x14ac:dyDescent="0.35">
      <c r="A49" s="98" t="s">
        <v>466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3"/>
      <c r="I49" s="124">
        <f t="shared" si="2"/>
        <v>-973.7430679772674</v>
      </c>
      <c r="J49" s="6"/>
      <c r="K49" s="3"/>
    </row>
    <row r="50" spans="1:12" x14ac:dyDescent="0.35">
      <c r="A50" s="98" t="s">
        <v>467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3"/>
      <c r="I50" s="124">
        <f t="shared" si="2"/>
        <v>-319.23186372071444</v>
      </c>
      <c r="J50" s="6"/>
      <c r="K50" s="3"/>
    </row>
    <row r="51" spans="1:12" x14ac:dyDescent="0.35">
      <c r="A51" s="9" t="s">
        <v>395</v>
      </c>
      <c r="B51" s="9"/>
      <c r="C51" s="9"/>
      <c r="D51" s="84"/>
      <c r="E51" s="9"/>
      <c r="F51" s="9"/>
      <c r="G51" s="9"/>
      <c r="H51" s="123"/>
      <c r="I51" s="121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35">
      <c r="A52" s="98" t="s">
        <v>469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3"/>
      <c r="I52" s="124">
        <f t="shared" si="2"/>
        <v>-1038.0305169659011</v>
      </c>
      <c r="J52" s="6"/>
      <c r="K52" s="3"/>
    </row>
    <row r="53" spans="1:12" x14ac:dyDescent="0.35">
      <c r="A53" s="98" t="s">
        <v>470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3"/>
      <c r="I53" s="124">
        <f t="shared" si="2"/>
        <v>-1847.564775954535</v>
      </c>
      <c r="J53" s="6"/>
      <c r="K53" s="3"/>
    </row>
    <row r="54" spans="1:12" x14ac:dyDescent="0.35">
      <c r="A54" s="98" t="s">
        <v>461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3"/>
      <c r="I54" s="124">
        <f t="shared" si="2"/>
        <v>-797.97480539318019</v>
      </c>
      <c r="J54" s="6"/>
      <c r="K54" s="3"/>
    </row>
    <row r="55" spans="1:12" x14ac:dyDescent="0.35">
      <c r="A55" s="98" t="s">
        <v>435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3"/>
      <c r="I55" s="124">
        <f t="shared" si="2"/>
        <v>-907.91334216214341</v>
      </c>
      <c r="J55" s="6"/>
      <c r="K55" s="3"/>
      <c r="L55" t="s">
        <v>473</v>
      </c>
    </row>
    <row r="56" spans="1:12" x14ac:dyDescent="0.3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3"/>
      <c r="I56" s="122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0.5263</f>
        <v>0.52629999999999999</v>
      </c>
      <c r="C1" s="1"/>
      <c r="I1" s="41"/>
      <c r="J1" s="45" t="s">
        <v>290</v>
      </c>
      <c r="K1" s="117">
        <v>43018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426</v>
      </c>
    </row>
    <row r="4" spans="1:13" x14ac:dyDescent="0.35">
      <c r="A4" s="9" t="s">
        <v>474</v>
      </c>
      <c r="B4" s="9"/>
      <c r="C4" s="9"/>
      <c r="D4" s="84"/>
      <c r="E4" s="9"/>
      <c r="F4" s="10"/>
      <c r="G4" s="10"/>
      <c r="H4" s="123"/>
      <c r="I4" s="121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35">
      <c r="A5" s="3" t="s">
        <v>475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3"/>
      <c r="I5" s="124">
        <f>H5-G5</f>
        <v>-881.03572398856431</v>
      </c>
      <c r="J5" s="6"/>
      <c r="K5" s="3"/>
      <c r="L5" s="3"/>
    </row>
    <row r="6" spans="1:13" x14ac:dyDescent="0.35">
      <c r="A6" s="9" t="s">
        <v>414</v>
      </c>
      <c r="B6" s="9"/>
      <c r="C6" s="9"/>
      <c r="D6" s="9"/>
      <c r="E6" s="9"/>
      <c r="F6" s="9"/>
      <c r="G6" s="9"/>
      <c r="H6" s="123"/>
      <c r="I6" s="121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35">
      <c r="A7" s="3" t="s">
        <v>476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3"/>
      <c r="I7" s="124">
        <f t="shared" ref="I7:I70" si="3">H7-G7</f>
        <v>-704.84772639313849</v>
      </c>
      <c r="J7" s="6"/>
      <c r="K7" s="3"/>
      <c r="L7" s="3"/>
    </row>
    <row r="8" spans="1:13" x14ac:dyDescent="0.35">
      <c r="A8" s="9" t="s">
        <v>417</v>
      </c>
      <c r="B8" s="9"/>
      <c r="C8" s="9"/>
      <c r="D8" s="9"/>
      <c r="E8" s="9"/>
      <c r="F8" s="9"/>
      <c r="G8" s="9"/>
      <c r="H8" s="123"/>
      <c r="I8" s="121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35">
      <c r="A9" s="18" t="s">
        <v>477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3"/>
      <c r="I9" s="124">
        <f t="shared" si="3"/>
        <v>-1090.6197867485705</v>
      </c>
      <c r="J9" s="6"/>
      <c r="K9" s="3"/>
      <c r="L9" s="3"/>
    </row>
    <row r="10" spans="1:13" x14ac:dyDescent="0.35">
      <c r="A10" s="9" t="s">
        <v>478</v>
      </c>
      <c r="B10" s="9"/>
      <c r="C10" s="9"/>
      <c r="D10" s="9"/>
      <c r="E10" s="9"/>
      <c r="F10" s="9"/>
      <c r="G10" s="9"/>
      <c r="H10" s="123"/>
      <c r="I10" s="121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516</v>
      </c>
    </row>
    <row r="11" spans="1:13" x14ac:dyDescent="0.35">
      <c r="A11" s="98" t="s">
        <v>479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3"/>
      <c r="I11" s="124">
        <f t="shared" si="3"/>
        <v>-573.10499683603757</v>
      </c>
      <c r="J11" s="6"/>
      <c r="K11" s="3"/>
      <c r="L11" s="3">
        <f>18.5*2</f>
        <v>37</v>
      </c>
    </row>
    <row r="12" spans="1:13" x14ac:dyDescent="0.35">
      <c r="A12" s="9" t="s">
        <v>480</v>
      </c>
      <c r="B12" s="9"/>
      <c r="C12" s="9"/>
      <c r="D12" s="9"/>
      <c r="E12" s="9"/>
      <c r="F12" s="9"/>
      <c r="G12" s="9"/>
      <c r="H12" s="9"/>
      <c r="I12" s="121">
        <f>I13</f>
        <v>-564.18947483603768</v>
      </c>
      <c r="J12" s="131">
        <f>574+6</f>
        <v>580</v>
      </c>
      <c r="K12" s="38">
        <f>J12+I12-L13</f>
        <v>5.8105251639623248</v>
      </c>
      <c r="L12" s="3"/>
    </row>
    <row r="13" spans="1:13" x14ac:dyDescent="0.35">
      <c r="A13" s="3" t="s">
        <v>481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3"/>
      <c r="I13" s="124">
        <f t="shared" si="3"/>
        <v>-564.18947483603768</v>
      </c>
      <c r="J13" s="6"/>
      <c r="K13" s="6"/>
      <c r="L13" s="3">
        <v>10</v>
      </c>
    </row>
    <row r="14" spans="1:13" x14ac:dyDescent="0.35">
      <c r="A14" s="9" t="s">
        <v>436</v>
      </c>
      <c r="B14" s="9"/>
      <c r="C14" s="9"/>
      <c r="D14" s="9"/>
      <c r="E14" s="9"/>
      <c r="F14" s="9"/>
      <c r="G14" s="9"/>
      <c r="H14" s="9"/>
      <c r="I14" s="121">
        <f>I15</f>
        <v>-564.18947483603768</v>
      </c>
      <c r="J14" s="131">
        <f>575+6</f>
        <v>581</v>
      </c>
      <c r="K14" s="38">
        <f>J14+I14-L15</f>
        <v>6.8105251639623248</v>
      </c>
      <c r="L14" s="3"/>
    </row>
    <row r="15" spans="1:13" x14ac:dyDescent="0.35">
      <c r="A15" s="3" t="s">
        <v>481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3"/>
      <c r="I15" s="124">
        <f t="shared" si="3"/>
        <v>-564.18947483603768</v>
      </c>
      <c r="J15" s="6"/>
      <c r="K15" s="6"/>
      <c r="L15" s="3">
        <v>10</v>
      </c>
    </row>
    <row r="16" spans="1:13" x14ac:dyDescent="0.35">
      <c r="A16" s="9" t="s">
        <v>482</v>
      </c>
      <c r="B16" s="9"/>
      <c r="C16" s="9"/>
      <c r="D16" s="9"/>
      <c r="E16" s="9"/>
      <c r="F16" s="9"/>
      <c r="G16" s="9"/>
      <c r="H16" s="9"/>
      <c r="I16" s="121">
        <f>I17</f>
        <v>-297.03113141801884</v>
      </c>
      <c r="J16" s="131">
        <v>301.33</v>
      </c>
      <c r="K16" s="38">
        <f>J16+I16</f>
        <v>4.2988685819811394</v>
      </c>
      <c r="L16" s="3"/>
    </row>
    <row r="17" spans="1:12" x14ac:dyDescent="0.35">
      <c r="A17" s="3" t="s">
        <v>483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3"/>
      <c r="I17" s="124">
        <f t="shared" si="3"/>
        <v>-297.03113141801884</v>
      </c>
      <c r="J17" s="6"/>
      <c r="K17" s="6"/>
      <c r="L17" s="3" t="s">
        <v>515</v>
      </c>
    </row>
    <row r="18" spans="1:12" x14ac:dyDescent="0.35">
      <c r="A18" s="9" t="s">
        <v>433</v>
      </c>
      <c r="B18" s="9"/>
      <c r="C18" s="9"/>
      <c r="D18" s="9"/>
      <c r="E18" s="9"/>
      <c r="F18" s="9"/>
      <c r="G18" s="9"/>
      <c r="H18" s="9"/>
      <c r="I18" s="121">
        <f>I19</f>
        <v>-297.03113141801884</v>
      </c>
      <c r="J18" s="131">
        <f>308+14</f>
        <v>322</v>
      </c>
      <c r="K18" s="38">
        <f>J18+I18-L19</f>
        <v>6.4688685819811553</v>
      </c>
      <c r="L18" s="3"/>
    </row>
    <row r="19" spans="1:12" x14ac:dyDescent="0.35">
      <c r="A19" s="3" t="s">
        <v>483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3"/>
      <c r="I19" s="124">
        <f t="shared" si="3"/>
        <v>-297.03113141801884</v>
      </c>
      <c r="J19" s="6"/>
      <c r="K19" s="6"/>
      <c r="L19" s="3">
        <v>18.5</v>
      </c>
    </row>
    <row r="20" spans="1:12" x14ac:dyDescent="0.35">
      <c r="A20" s="9" t="s">
        <v>484</v>
      </c>
      <c r="B20" s="9"/>
      <c r="C20" s="9"/>
      <c r="D20" s="9"/>
      <c r="E20" s="9"/>
      <c r="F20" s="9"/>
      <c r="G20" s="9"/>
      <c r="H20" s="9"/>
      <c r="I20" s="121">
        <f>I21</f>
        <v>-573.10499683603757</v>
      </c>
      <c r="J20" s="131">
        <v>582</v>
      </c>
      <c r="K20" s="38">
        <f>J20+I20-L21</f>
        <v>-1.1049968360375715</v>
      </c>
      <c r="L20" s="3"/>
    </row>
    <row r="21" spans="1:12" x14ac:dyDescent="0.35">
      <c r="A21" s="98" t="s">
        <v>479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3"/>
      <c r="I21" s="124">
        <f t="shared" si="3"/>
        <v>-573.10499683603757</v>
      </c>
      <c r="J21" s="6"/>
      <c r="K21" s="6"/>
      <c r="L21" s="3">
        <v>10</v>
      </c>
    </row>
    <row r="22" spans="1:12" x14ac:dyDescent="0.35">
      <c r="A22" s="9" t="s">
        <v>485</v>
      </c>
      <c r="B22" s="9"/>
      <c r="C22" s="9"/>
      <c r="D22" s="9"/>
      <c r="E22" s="9"/>
      <c r="F22" s="9"/>
      <c r="G22" s="9"/>
      <c r="H22" s="9"/>
      <c r="I22" s="121">
        <f>I23</f>
        <v>-891.09339425405642</v>
      </c>
      <c r="J22" s="131">
        <v>883</v>
      </c>
      <c r="K22" s="38">
        <f>J22+I22</f>
        <v>-8.0933942540564203</v>
      </c>
      <c r="L22" s="3"/>
    </row>
    <row r="23" spans="1:12" x14ac:dyDescent="0.35">
      <c r="A23" s="3" t="s">
        <v>486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3"/>
      <c r="I23" s="124">
        <f t="shared" si="3"/>
        <v>-891.09339425405642</v>
      </c>
      <c r="J23" s="6"/>
      <c r="K23" s="6"/>
      <c r="L23" s="3" t="s">
        <v>515</v>
      </c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21">
        <f>I25</f>
        <v>-1042.4657376720752</v>
      </c>
      <c r="J24" s="131">
        <f>1066+13</f>
        <v>1079</v>
      </c>
      <c r="K24" s="38">
        <f>J24+I24-L25</f>
        <v>14.534262327924807</v>
      </c>
      <c r="L24" s="3"/>
    </row>
    <row r="25" spans="1:12" x14ac:dyDescent="0.35">
      <c r="A25" s="3" t="s">
        <v>487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3"/>
      <c r="I25" s="124">
        <f t="shared" si="3"/>
        <v>-1042.4657376720752</v>
      </c>
      <c r="J25" s="6"/>
      <c r="K25" s="6"/>
      <c r="L25" s="3">
        <f>11*2</f>
        <v>22</v>
      </c>
    </row>
    <row r="26" spans="1:12" x14ac:dyDescent="0.35">
      <c r="A26" s="9" t="s">
        <v>488</v>
      </c>
      <c r="B26" s="9"/>
      <c r="C26" s="9"/>
      <c r="D26" s="9"/>
      <c r="E26" s="9"/>
      <c r="F26" s="9"/>
      <c r="G26" s="9"/>
      <c r="H26" s="9"/>
      <c r="I26" s="121">
        <f>I27+I28</f>
        <v>-583.58362983603763</v>
      </c>
      <c r="J26" s="131">
        <f>592+34</f>
        <v>626</v>
      </c>
      <c r="K26" s="38">
        <f>J26+I26-L27-L28</f>
        <v>5.4163701639623696</v>
      </c>
      <c r="L26" s="3"/>
    </row>
    <row r="27" spans="1:12" x14ac:dyDescent="0.35">
      <c r="A27" s="3" t="s">
        <v>483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3"/>
      <c r="I27" s="124">
        <f t="shared" si="3"/>
        <v>-297.03113141801884</v>
      </c>
      <c r="J27" s="6"/>
      <c r="K27" s="6"/>
      <c r="L27" s="3">
        <v>18.5</v>
      </c>
    </row>
    <row r="28" spans="1:12" x14ac:dyDescent="0.35">
      <c r="A28" s="98" t="s">
        <v>489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3"/>
      <c r="I28" s="124">
        <f t="shared" si="3"/>
        <v>-286.55249841801879</v>
      </c>
      <c r="J28" s="6"/>
      <c r="K28" s="6"/>
      <c r="L28" s="3">
        <v>18.5</v>
      </c>
    </row>
    <row r="29" spans="1:12" x14ac:dyDescent="0.35">
      <c r="A29" s="9" t="s">
        <v>490</v>
      </c>
      <c r="B29" s="9"/>
      <c r="C29" s="9"/>
      <c r="D29" s="9"/>
      <c r="E29" s="9"/>
      <c r="F29" s="9"/>
      <c r="G29" s="9"/>
      <c r="H29" s="9"/>
      <c r="I29" s="121">
        <f>I30+I31</f>
        <v>-579.12586883603763</v>
      </c>
      <c r="J29" s="131">
        <f>532+28*2+33</f>
        <v>621</v>
      </c>
      <c r="K29" s="38">
        <f>J29+I29-L30-L31</f>
        <v>4.8741311639623746</v>
      </c>
      <c r="L29" s="3"/>
    </row>
    <row r="30" spans="1:12" x14ac:dyDescent="0.35">
      <c r="A30" s="3" t="s">
        <v>483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3"/>
      <c r="I30" s="124">
        <f t="shared" si="3"/>
        <v>-297.03113141801884</v>
      </c>
      <c r="J30" s="6"/>
      <c r="K30" s="6"/>
      <c r="L30" s="3">
        <v>18.5</v>
      </c>
    </row>
    <row r="31" spans="1:12" x14ac:dyDescent="0.35">
      <c r="A31" s="3" t="s">
        <v>491</v>
      </c>
      <c r="B31" s="125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3"/>
      <c r="I31" s="124">
        <f t="shared" si="3"/>
        <v>-282.09473741801884</v>
      </c>
      <c r="J31" s="6"/>
      <c r="K31" s="6"/>
      <c r="L31" s="3">
        <v>18.5</v>
      </c>
    </row>
    <row r="32" spans="1:12" x14ac:dyDescent="0.35">
      <c r="A32" s="9" t="s">
        <v>492</v>
      </c>
      <c r="B32" s="9"/>
      <c r="C32" s="9"/>
      <c r="D32" s="9"/>
      <c r="E32" s="9"/>
      <c r="F32" s="9"/>
      <c r="G32" s="9"/>
      <c r="H32" s="9"/>
      <c r="I32" s="121">
        <f>I33+I34</f>
        <v>-583.58362983603763</v>
      </c>
      <c r="J32" s="131">
        <f>592+34</f>
        <v>626</v>
      </c>
      <c r="K32" s="38">
        <f>J32+I32-L33-L34</f>
        <v>5.4163701639623696</v>
      </c>
      <c r="L32" s="3"/>
    </row>
    <row r="33" spans="1:12" x14ac:dyDescent="0.35">
      <c r="A33" s="3" t="s">
        <v>483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3"/>
      <c r="I33" s="124">
        <f t="shared" si="3"/>
        <v>-297.03113141801884</v>
      </c>
      <c r="J33" s="6"/>
      <c r="K33" s="6"/>
      <c r="L33" s="3">
        <v>18.5</v>
      </c>
    </row>
    <row r="34" spans="1:12" x14ac:dyDescent="0.35">
      <c r="A34" s="98" t="s">
        <v>489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3"/>
      <c r="I34" s="124">
        <f t="shared" si="3"/>
        <v>-286.55249841801879</v>
      </c>
      <c r="J34" s="6"/>
      <c r="K34" s="6"/>
      <c r="L34" s="3">
        <v>18.5</v>
      </c>
    </row>
    <row r="35" spans="1:12" x14ac:dyDescent="0.35">
      <c r="A35" s="9" t="s">
        <v>434</v>
      </c>
      <c r="B35" s="9"/>
      <c r="C35" s="9"/>
      <c r="D35" s="9"/>
      <c r="E35" s="9"/>
      <c r="F35" s="9"/>
      <c r="G35" s="9"/>
      <c r="H35" s="9"/>
      <c r="I35" s="121">
        <f>SUM(I36:I38)</f>
        <v>-2211.6239127346621</v>
      </c>
      <c r="J35" s="131">
        <v>2222</v>
      </c>
      <c r="K35" s="38">
        <f>J35+I35-L36-L37</f>
        <v>0.37608726533790104</v>
      </c>
      <c r="L35" s="3"/>
    </row>
    <row r="36" spans="1:12" x14ac:dyDescent="0.35">
      <c r="A36" s="3" t="s">
        <v>493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3"/>
      <c r="I36" s="124">
        <f t="shared" si="3"/>
        <v>-810.87624964456802</v>
      </c>
      <c r="J36" s="6"/>
      <c r="K36" s="6"/>
      <c r="L36" s="3"/>
    </row>
    <row r="37" spans="1:12" x14ac:dyDescent="0.35">
      <c r="A37" s="3" t="s">
        <v>494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3"/>
      <c r="I37" s="124">
        <f t="shared" si="3"/>
        <v>-594.06226283603769</v>
      </c>
      <c r="J37" s="6"/>
      <c r="K37" s="6"/>
      <c r="L37" s="3">
        <v>10</v>
      </c>
    </row>
    <row r="38" spans="1:12" x14ac:dyDescent="0.35">
      <c r="A38" s="113" t="s">
        <v>495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3"/>
      <c r="I38" s="124">
        <f t="shared" si="3"/>
        <v>-806.68540025405639</v>
      </c>
      <c r="J38" s="6"/>
      <c r="K38" s="6"/>
      <c r="L38" s="3" t="s">
        <v>515</v>
      </c>
    </row>
    <row r="39" spans="1:12" x14ac:dyDescent="0.35">
      <c r="A39" s="9" t="s">
        <v>413</v>
      </c>
      <c r="B39" s="9"/>
      <c r="C39" s="9"/>
      <c r="D39" s="9"/>
      <c r="E39" s="9"/>
      <c r="F39" s="9"/>
      <c r="G39" s="9"/>
      <c r="H39" s="9"/>
      <c r="I39" s="121">
        <f>SUM(I40:I42)</f>
        <v>-1593.4556085081128</v>
      </c>
      <c r="J39" s="131">
        <f>1622+24</f>
        <v>1646</v>
      </c>
      <c r="K39" s="38">
        <f>J39+I39-L40-L42</f>
        <v>15.544391491887154</v>
      </c>
      <c r="L39" s="3"/>
    </row>
    <row r="40" spans="1:12" x14ac:dyDescent="0.35">
      <c r="A40" s="3" t="s">
        <v>491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3"/>
      <c r="I40" s="124">
        <f t="shared" si="3"/>
        <v>-282.09473741801884</v>
      </c>
      <c r="J40" s="6"/>
      <c r="K40" s="6"/>
      <c r="L40" s="3">
        <v>18.5</v>
      </c>
    </row>
    <row r="41" spans="1:12" x14ac:dyDescent="0.35">
      <c r="A41" s="3" t="s">
        <v>487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3"/>
      <c r="I41" s="124">
        <f t="shared" si="3"/>
        <v>-1042.4657376720752</v>
      </c>
      <c r="J41" s="6"/>
      <c r="K41" s="6"/>
      <c r="L41" s="3" t="s">
        <v>515</v>
      </c>
    </row>
    <row r="42" spans="1:12" x14ac:dyDescent="0.35">
      <c r="A42" s="113" t="s">
        <v>496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3"/>
      <c r="I42" s="124">
        <f t="shared" si="3"/>
        <v>-268.89513341801876</v>
      </c>
      <c r="J42" s="6"/>
      <c r="K42" s="3"/>
      <c r="L42" s="3">
        <v>18.5</v>
      </c>
    </row>
    <row r="43" spans="1:12" x14ac:dyDescent="0.35">
      <c r="A43" s="9" t="s">
        <v>497</v>
      </c>
      <c r="B43" s="9"/>
      <c r="C43" s="9"/>
      <c r="D43" s="9"/>
      <c r="E43" s="9"/>
      <c r="F43" s="9"/>
      <c r="G43" s="9"/>
      <c r="H43" s="9"/>
      <c r="I43" s="121">
        <f>I44+I45</f>
        <v>-1137.2944716720754</v>
      </c>
      <c r="J43" s="131">
        <f>974+185</f>
        <v>1159</v>
      </c>
      <c r="K43" s="38">
        <f>J43+I43</f>
        <v>21.70552832792464</v>
      </c>
      <c r="L43" s="3"/>
    </row>
    <row r="44" spans="1:12" x14ac:dyDescent="0.35">
      <c r="A44" s="98" t="s">
        <v>479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3"/>
      <c r="I44" s="124">
        <f t="shared" si="3"/>
        <v>-573.10499683603757</v>
      </c>
      <c r="J44" s="6"/>
      <c r="K44" s="3"/>
      <c r="L44" s="3" t="s">
        <v>515</v>
      </c>
    </row>
    <row r="45" spans="1:12" x14ac:dyDescent="0.35">
      <c r="A45" s="3" t="s">
        <v>481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3"/>
      <c r="I45" s="124">
        <f t="shared" si="3"/>
        <v>-564.18947483603768</v>
      </c>
      <c r="J45" s="6"/>
      <c r="K45" s="6"/>
      <c r="L45" s="3" t="s">
        <v>515</v>
      </c>
    </row>
    <row r="46" spans="1:12" x14ac:dyDescent="0.35">
      <c r="A46" s="9" t="s">
        <v>498</v>
      </c>
      <c r="B46" s="9"/>
      <c r="C46" s="9"/>
      <c r="D46" s="9"/>
      <c r="E46" s="9"/>
      <c r="F46" s="9"/>
      <c r="G46" s="9"/>
      <c r="H46" s="9"/>
      <c r="I46" s="121">
        <f>I47+I48</f>
        <v>-842.00013025405633</v>
      </c>
      <c r="J46" s="131">
        <f>855+23</f>
        <v>878</v>
      </c>
      <c r="K46" s="38">
        <f>J46+I46-L47-L48</f>
        <v>7.4998697459436698</v>
      </c>
      <c r="L46" s="3"/>
    </row>
    <row r="47" spans="1:12" x14ac:dyDescent="0.35">
      <c r="A47" s="98" t="s">
        <v>479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3"/>
      <c r="I47" s="124">
        <f t="shared" si="3"/>
        <v>-573.10499683603757</v>
      </c>
      <c r="J47" s="6"/>
      <c r="K47" s="6"/>
      <c r="L47" s="3">
        <v>10</v>
      </c>
    </row>
    <row r="48" spans="1:12" x14ac:dyDescent="0.35">
      <c r="A48" s="113" t="s">
        <v>496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3"/>
      <c r="I48" s="124">
        <f t="shared" si="3"/>
        <v>-268.89513341801876</v>
      </c>
      <c r="J48" s="6"/>
      <c r="K48" s="3"/>
      <c r="L48" s="3">
        <v>18.5</v>
      </c>
    </row>
    <row r="49" spans="1:12" x14ac:dyDescent="0.35">
      <c r="A49" s="9" t="s">
        <v>499</v>
      </c>
      <c r="B49" s="9"/>
      <c r="C49" s="9"/>
      <c r="D49" s="9"/>
      <c r="E49" s="9"/>
      <c r="F49" s="9"/>
      <c r="G49" s="9"/>
      <c r="H49" s="9"/>
      <c r="I49" s="121">
        <f>I50+I51</f>
        <v>-807.78536725405638</v>
      </c>
      <c r="J49" s="131">
        <f>804+33</f>
        <v>837</v>
      </c>
      <c r="K49" s="38">
        <f>J49+I49-L50-L51</f>
        <v>-0.28536725405638208</v>
      </c>
      <c r="L49" s="3"/>
    </row>
    <row r="50" spans="1:12" x14ac:dyDescent="0.35">
      <c r="A50" s="98" t="s">
        <v>489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3"/>
      <c r="I50" s="124">
        <f t="shared" si="3"/>
        <v>-286.55249841801879</v>
      </c>
      <c r="J50" s="6"/>
      <c r="K50" s="3"/>
      <c r="L50" s="3">
        <v>18.5</v>
      </c>
    </row>
    <row r="51" spans="1:12" x14ac:dyDescent="0.35">
      <c r="A51" s="3" t="s">
        <v>500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3"/>
      <c r="I51" s="124">
        <f t="shared" si="3"/>
        <v>-521.2328688360376</v>
      </c>
      <c r="J51" s="6"/>
      <c r="K51" s="6"/>
      <c r="L51" s="3">
        <f>11</f>
        <v>11</v>
      </c>
    </row>
    <row r="52" spans="1:12" x14ac:dyDescent="0.35">
      <c r="A52" s="9" t="s">
        <v>501</v>
      </c>
      <c r="B52" s="9"/>
      <c r="C52" s="9"/>
      <c r="D52" s="9"/>
      <c r="E52" s="9"/>
      <c r="F52" s="9"/>
      <c r="G52" s="9"/>
      <c r="H52" s="9"/>
      <c r="I52" s="121">
        <f>SUM(I53:I55)</f>
        <v>-3273.6349310162254</v>
      </c>
      <c r="J52" s="131">
        <f>1660+1552</f>
        <v>3212</v>
      </c>
      <c r="K52" s="38">
        <f>J52+I52-L53</f>
        <v>-71.634931016225437</v>
      </c>
      <c r="L52" s="3"/>
    </row>
    <row r="53" spans="1:12" x14ac:dyDescent="0.35">
      <c r="A53" s="132" t="s">
        <v>502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3"/>
      <c r="I53" s="124">
        <f t="shared" si="3"/>
        <v>-537.79026683603752</v>
      </c>
      <c r="J53" s="6"/>
      <c r="K53" s="3"/>
      <c r="L53" s="3">
        <v>10</v>
      </c>
    </row>
    <row r="54" spans="1:12" x14ac:dyDescent="0.35">
      <c r="A54" s="3" t="s">
        <v>513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3"/>
      <c r="I54" s="124">
        <f t="shared" si="3"/>
        <v>-1303.082172090094</v>
      </c>
      <c r="J54" s="6"/>
      <c r="K54" s="3"/>
      <c r="L54" s="3" t="s">
        <v>515</v>
      </c>
    </row>
    <row r="55" spans="1:12" x14ac:dyDescent="0.35">
      <c r="A55" s="98" t="s">
        <v>514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3"/>
      <c r="I55" s="124">
        <f t="shared" si="3"/>
        <v>-1432.7624920900939</v>
      </c>
      <c r="J55" s="6"/>
      <c r="K55" s="3"/>
      <c r="L55" s="3" t="s">
        <v>515</v>
      </c>
    </row>
    <row r="56" spans="1:12" x14ac:dyDescent="0.35">
      <c r="A56" s="9" t="s">
        <v>503</v>
      </c>
      <c r="B56" s="9"/>
      <c r="C56" s="9"/>
      <c r="D56" s="9"/>
      <c r="E56" s="9"/>
      <c r="F56" s="9"/>
      <c r="G56" s="9"/>
      <c r="H56" s="9"/>
      <c r="I56" s="121">
        <f>SUM(I57:I60)</f>
        <v>-14450.356071998145</v>
      </c>
      <c r="J56" s="131">
        <v>15000</v>
      </c>
      <c r="K56" s="38">
        <f>J56+I56</f>
        <v>549.64392800185487</v>
      </c>
      <c r="L56" s="3"/>
    </row>
    <row r="57" spans="1:12" x14ac:dyDescent="0.35">
      <c r="A57" s="3" t="s">
        <v>456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3"/>
      <c r="I57" s="124">
        <f t="shared" si="3"/>
        <v>-10624.909703727399</v>
      </c>
      <c r="J57" s="6"/>
      <c r="K57" s="3"/>
      <c r="L57" s="3"/>
    </row>
    <row r="58" spans="1:12" ht="29" x14ac:dyDescent="0.35">
      <c r="A58" s="18" t="s">
        <v>457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3"/>
      <c r="I58" s="124">
        <f t="shared" si="3"/>
        <v>-3252.6089556606394</v>
      </c>
      <c r="J58" s="6"/>
      <c r="K58" s="3"/>
      <c r="L58" s="3"/>
    </row>
    <row r="59" spans="1:12" x14ac:dyDescent="0.35">
      <c r="A59" s="3" t="s">
        <v>504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3"/>
      <c r="I59" s="124">
        <f t="shared" si="3"/>
        <v>-488.83680945757988</v>
      </c>
      <c r="J59" s="6"/>
      <c r="K59" s="3"/>
      <c r="L59" s="3"/>
    </row>
    <row r="60" spans="1:12" x14ac:dyDescent="0.35">
      <c r="A60" s="3" t="s">
        <v>505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3"/>
      <c r="I60" s="124">
        <f t="shared" si="3"/>
        <v>-84.000603152526637</v>
      </c>
      <c r="J60" s="6"/>
      <c r="K60" s="3"/>
      <c r="L60" s="3"/>
    </row>
    <row r="61" spans="1:12" x14ac:dyDescent="0.35">
      <c r="A61" s="9" t="s">
        <v>438</v>
      </c>
      <c r="B61" s="9"/>
      <c r="C61" s="9"/>
      <c r="D61" s="9"/>
      <c r="E61" s="9"/>
      <c r="F61" s="9"/>
      <c r="G61" s="9"/>
      <c r="H61" s="9"/>
      <c r="I61" s="121">
        <f>SUM(I62:I68)</f>
        <v>-3938.3367317124089</v>
      </c>
      <c r="J61" s="131">
        <f>3967+87</f>
        <v>4054</v>
      </c>
      <c r="K61" s="38">
        <f>J61+I61-L62-L63-L64-L65</f>
        <v>39.163268287591109</v>
      </c>
      <c r="L61" s="3"/>
    </row>
    <row r="62" spans="1:12" x14ac:dyDescent="0.35">
      <c r="A62" s="3" t="s">
        <v>481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3"/>
      <c r="I62" s="124">
        <f t="shared" si="3"/>
        <v>-564.18947483603768</v>
      </c>
      <c r="J62" s="6"/>
      <c r="K62" s="3"/>
      <c r="L62" s="3">
        <v>10</v>
      </c>
    </row>
    <row r="63" spans="1:12" x14ac:dyDescent="0.35">
      <c r="A63" s="3" t="s">
        <v>500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3"/>
      <c r="I63" s="124">
        <f t="shared" si="3"/>
        <v>-521.2328688360376</v>
      </c>
      <c r="J63" s="6"/>
      <c r="K63" s="3"/>
      <c r="L63" s="3">
        <v>11</v>
      </c>
    </row>
    <row r="64" spans="1:12" x14ac:dyDescent="0.35">
      <c r="A64" s="98" t="s">
        <v>489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3"/>
      <c r="I64" s="124">
        <f t="shared" si="3"/>
        <v>-286.55249841801879</v>
      </c>
      <c r="J64" s="6"/>
      <c r="K64" s="3"/>
      <c r="L64" s="3">
        <v>18.5</v>
      </c>
    </row>
    <row r="65" spans="1:12" x14ac:dyDescent="0.35">
      <c r="A65" s="113" t="s">
        <v>502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3"/>
      <c r="I65" s="124">
        <f t="shared" si="3"/>
        <v>-537.79026683603752</v>
      </c>
      <c r="J65" s="6"/>
      <c r="K65" s="3"/>
      <c r="L65" s="3">
        <f>18.5*2</f>
        <v>37</v>
      </c>
    </row>
    <row r="66" spans="1:12" x14ac:dyDescent="0.35">
      <c r="A66" s="113" t="s">
        <v>506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3"/>
      <c r="I66" s="124">
        <f t="shared" si="3"/>
        <v>-275.66731879771288</v>
      </c>
      <c r="J66" s="6"/>
      <c r="K66" s="3"/>
      <c r="L66" s="3"/>
    </row>
    <row r="67" spans="1:12" x14ac:dyDescent="0.35">
      <c r="A67" s="113" t="s">
        <v>507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3"/>
      <c r="I67" s="124">
        <f t="shared" si="3"/>
        <v>-880.21519699428211</v>
      </c>
      <c r="J67" s="6"/>
      <c r="K67" s="3"/>
      <c r="L67" s="3"/>
    </row>
    <row r="68" spans="1:12" ht="16" customHeight="1" x14ac:dyDescent="0.35">
      <c r="A68" s="113" t="s">
        <v>508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3"/>
      <c r="I68" s="124">
        <f t="shared" si="3"/>
        <v>-872.68910699428216</v>
      </c>
      <c r="J68" s="6"/>
      <c r="K68" s="3"/>
      <c r="L68" s="3"/>
    </row>
    <row r="69" spans="1:12" x14ac:dyDescent="0.3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1"/>
      <c r="K69" s="9"/>
      <c r="L69" s="3"/>
    </row>
    <row r="70" spans="1:12" x14ac:dyDescent="0.35">
      <c r="A70" s="113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3"/>
      <c r="I70" s="124">
        <f t="shared" si="3"/>
        <v>0</v>
      </c>
      <c r="J70" s="6"/>
      <c r="K70" s="3"/>
      <c r="L70" s="3"/>
    </row>
    <row r="71" spans="1:12" x14ac:dyDescent="0.3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3"/>
      <c r="I71" s="122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46" zoomScale="80" zoomScaleNormal="80" workbookViewId="0">
      <selection activeCell="N60" sqref="N60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0.553</f>
        <v>0.55300000000000005</v>
      </c>
      <c r="C1" s="1"/>
      <c r="I1" s="41"/>
      <c r="J1" s="45" t="s">
        <v>290</v>
      </c>
      <c r="K1" s="117">
        <v>43142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4" t="s">
        <v>424</v>
      </c>
      <c r="B3" s="114" t="s">
        <v>390</v>
      </c>
      <c r="C3" s="114" t="s">
        <v>60</v>
      </c>
      <c r="D3" s="114" t="s">
        <v>59</v>
      </c>
      <c r="E3" s="114" t="s">
        <v>391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426</v>
      </c>
    </row>
    <row r="4" spans="1:12" x14ac:dyDescent="0.35">
      <c r="A4" s="9" t="s">
        <v>325</v>
      </c>
      <c r="B4" s="9"/>
      <c r="C4" s="9"/>
      <c r="D4" s="84"/>
      <c r="E4" s="9"/>
      <c r="F4" s="10"/>
      <c r="G4" s="10"/>
      <c r="H4" s="123"/>
      <c r="I4" s="121">
        <f>SUM(I5)</f>
        <v>-638.4553064483689</v>
      </c>
      <c r="J4" s="38">
        <v>611</v>
      </c>
      <c r="K4" s="38">
        <f>J4+I4</f>
        <v>-27.455306448368901</v>
      </c>
      <c r="L4" s="3"/>
    </row>
    <row r="5" spans="1:12" x14ac:dyDescent="0.35">
      <c r="A5" s="98" t="s">
        <v>517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3"/>
      <c r="I5" s="124">
        <f>H5-G5</f>
        <v>-638.4553064483689</v>
      </c>
      <c r="J5" s="6"/>
      <c r="K5" s="3"/>
      <c r="L5" s="3"/>
    </row>
    <row r="6" spans="1:12" x14ac:dyDescent="0.35">
      <c r="A6" s="9" t="s">
        <v>492</v>
      </c>
      <c r="B6" s="9"/>
      <c r="C6" s="9"/>
      <c r="D6" s="9"/>
      <c r="E6" s="9"/>
      <c r="F6" s="9"/>
      <c r="G6" s="9"/>
      <c r="H6" s="123"/>
      <c r="I6" s="121">
        <f>I7</f>
        <v>-855.20757943601916</v>
      </c>
      <c r="J6" s="43">
        <v>810</v>
      </c>
      <c r="K6" s="38">
        <f>J6+I6-L7</f>
        <v>-56.207579436019159</v>
      </c>
      <c r="L6" s="3"/>
    </row>
    <row r="7" spans="1:12" x14ac:dyDescent="0.35">
      <c r="A7" s="98" t="s">
        <v>518</v>
      </c>
      <c r="B7" s="133">
        <v>1</v>
      </c>
      <c r="C7" s="3">
        <f>2920/1000*300</f>
        <v>876</v>
      </c>
      <c r="D7" s="3">
        <f t="shared" ref="D7:D74" si="0"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 t="shared" ref="G7:G74" si="1">(C7)*$B$1+D7*$B$1+F7*$B$1</f>
        <v>855.20757943601916</v>
      </c>
      <c r="H7" s="123"/>
      <c r="I7" s="124">
        <f t="shared" ref="I7:I76" si="2">H7-G7</f>
        <v>-855.20757943601916</v>
      </c>
      <c r="J7" s="6"/>
      <c r="K7" s="3"/>
      <c r="L7" s="3">
        <v>11</v>
      </c>
    </row>
    <row r="8" spans="1:12" x14ac:dyDescent="0.35">
      <c r="A8" s="9" t="s">
        <v>497</v>
      </c>
      <c r="B8" s="9"/>
      <c r="C8" s="9"/>
      <c r="D8" s="9"/>
      <c r="E8" s="9"/>
      <c r="F8" s="9"/>
      <c r="G8" s="9"/>
      <c r="H8" s="123"/>
      <c r="I8" s="121">
        <f>I9</f>
        <v>-638.4553064483689</v>
      </c>
      <c r="J8" s="43">
        <v>589</v>
      </c>
      <c r="K8" s="38">
        <f>J8+I8</f>
        <v>-49.455306448368901</v>
      </c>
      <c r="L8" s="3"/>
    </row>
    <row r="9" spans="1:12" x14ac:dyDescent="0.35">
      <c r="A9" s="98" t="s">
        <v>517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E9/$E$77*$F$77</f>
        <v>285.53039140753845</v>
      </c>
      <c r="G9" s="3">
        <f t="shared" si="1"/>
        <v>638.4553064483689</v>
      </c>
      <c r="H9" s="123"/>
      <c r="I9" s="124">
        <f t="shared" si="2"/>
        <v>-638.4553064483689</v>
      </c>
      <c r="J9" s="6"/>
      <c r="K9" s="3"/>
      <c r="L9" s="3"/>
    </row>
    <row r="10" spans="1:12" x14ac:dyDescent="0.35">
      <c r="A10" s="9" t="s">
        <v>413</v>
      </c>
      <c r="B10" s="9"/>
      <c r="C10" s="9"/>
      <c r="D10" s="9"/>
      <c r="E10" s="9"/>
      <c r="F10" s="9"/>
      <c r="G10" s="9"/>
      <c r="H10" s="123"/>
      <c r="I10" s="121">
        <f>I11</f>
        <v>-919.54983572951448</v>
      </c>
      <c r="J10" s="43">
        <v>867</v>
      </c>
      <c r="K10" s="38">
        <f>J10+I10-L11</f>
        <v>-52.549835729514484</v>
      </c>
      <c r="L10" s="3"/>
    </row>
    <row r="11" spans="1:12" x14ac:dyDescent="0.35">
      <c r="A11" s="3" t="s">
        <v>519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E11/$E$77*$F$77</f>
        <v>219.63876262118342</v>
      </c>
      <c r="G11" s="3">
        <f t="shared" si="1"/>
        <v>919.54983572951448</v>
      </c>
      <c r="H11" s="123"/>
      <c r="I11" s="124">
        <f t="shared" si="2"/>
        <v>-919.54983572951448</v>
      </c>
      <c r="J11" s="6"/>
      <c r="K11" s="3"/>
      <c r="L11" s="3"/>
    </row>
    <row r="12" spans="1:12" x14ac:dyDescent="0.35">
      <c r="A12" s="9" t="s">
        <v>395</v>
      </c>
      <c r="B12" s="9"/>
      <c r="C12" s="9"/>
      <c r="D12" s="9"/>
      <c r="E12" s="9"/>
      <c r="F12" s="9"/>
      <c r="G12" s="9"/>
      <c r="H12" s="9"/>
      <c r="I12" s="121">
        <f>I13</f>
        <v>-1043.9516893237862</v>
      </c>
      <c r="J12" s="131">
        <v>904</v>
      </c>
      <c r="K12" s="38">
        <f>J12+I12-L13</f>
        <v>-139.95168932378624</v>
      </c>
      <c r="L12" s="3"/>
    </row>
    <row r="13" spans="1:12" x14ac:dyDescent="0.35">
      <c r="A13" s="98" t="s">
        <v>520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E13/$E$77*$F$77</f>
        <v>549.09690655295856</v>
      </c>
      <c r="G13" s="3">
        <f t="shared" si="1"/>
        <v>1043.9516893237862</v>
      </c>
      <c r="H13" s="123"/>
      <c r="I13" s="124">
        <f t="shared" si="2"/>
        <v>-1043.9516893237862</v>
      </c>
      <c r="J13" s="6"/>
      <c r="K13" s="6"/>
      <c r="L13" s="3"/>
    </row>
    <row r="14" spans="1:12" x14ac:dyDescent="0.35">
      <c r="A14" s="9" t="s">
        <v>521</v>
      </c>
      <c r="B14" s="9"/>
      <c r="C14" s="9"/>
      <c r="D14" s="9"/>
      <c r="E14" s="9"/>
      <c r="F14" s="9"/>
      <c r="G14" s="9"/>
      <c r="H14" s="9"/>
      <c r="I14" s="121">
        <f>I15</f>
        <v>-820.29705359427169</v>
      </c>
      <c r="J14" s="131">
        <v>785</v>
      </c>
      <c r="K14" s="38">
        <f>J14+I14-L15</f>
        <v>-35.297053594271688</v>
      </c>
      <c r="L14" s="3"/>
    </row>
    <row r="15" spans="1:12" x14ac:dyDescent="0.35">
      <c r="A15" s="98" t="s">
        <v>522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E15/$E$77*$F$77</f>
        <v>329.45814393177517</v>
      </c>
      <c r="G15" s="3">
        <f t="shared" si="1"/>
        <v>820.29705359427169</v>
      </c>
      <c r="H15" s="123"/>
      <c r="I15" s="124">
        <f t="shared" si="2"/>
        <v>-820.29705359427169</v>
      </c>
      <c r="J15" s="6"/>
      <c r="K15" s="6"/>
      <c r="L15" s="3"/>
    </row>
    <row r="16" spans="1:12" x14ac:dyDescent="0.35">
      <c r="A16" s="9" t="s">
        <v>422</v>
      </c>
      <c r="B16" s="9"/>
      <c r="C16" s="9"/>
      <c r="D16" s="9"/>
      <c r="E16" s="9"/>
      <c r="F16" s="9"/>
      <c r="G16" s="9"/>
      <c r="H16" s="9"/>
      <c r="I16" s="121">
        <f>I17</f>
        <v>-1043.9516893237862</v>
      </c>
      <c r="J16" s="131">
        <v>995</v>
      </c>
      <c r="K16" s="38">
        <f>J16+I16</f>
        <v>-48.95168932378624</v>
      </c>
      <c r="L16" s="3"/>
    </row>
    <row r="17" spans="1:12" x14ac:dyDescent="0.35">
      <c r="A17" s="98" t="s">
        <v>523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E17/$E$77*$F$77</f>
        <v>549.09690655295856</v>
      </c>
      <c r="G17" s="3">
        <f t="shared" si="1"/>
        <v>1043.9516893237862</v>
      </c>
      <c r="H17" s="123"/>
      <c r="I17" s="124">
        <f t="shared" si="2"/>
        <v>-1043.9516893237862</v>
      </c>
      <c r="J17" s="6"/>
      <c r="K17" s="6"/>
      <c r="L17" s="3"/>
    </row>
    <row r="18" spans="1:12" x14ac:dyDescent="0.35">
      <c r="A18" s="9" t="s">
        <v>524</v>
      </c>
      <c r="B18" s="9"/>
      <c r="C18" s="9"/>
      <c r="D18" s="9"/>
      <c r="E18" s="9"/>
      <c r="F18" s="9"/>
      <c r="G18" s="9"/>
      <c r="H18" s="9"/>
      <c r="I18" s="121">
        <f>I19</f>
        <v>-570.13838629067948</v>
      </c>
      <c r="J18" s="131">
        <v>560</v>
      </c>
      <c r="K18" s="38">
        <f>J18+I18-L19</f>
        <v>-21.138386290679477</v>
      </c>
      <c r="L18" s="3"/>
    </row>
    <row r="19" spans="1:12" x14ac:dyDescent="0.35">
      <c r="A19" s="113" t="s">
        <v>525</v>
      </c>
      <c r="B19" s="133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E19/$E$77*$F$77</f>
        <v>388.59165694517066</v>
      </c>
      <c r="G19" s="3">
        <f t="shared" si="1"/>
        <v>570.13838629067948</v>
      </c>
      <c r="H19" s="123"/>
      <c r="I19" s="124">
        <f t="shared" si="2"/>
        <v>-570.13838629067948</v>
      </c>
      <c r="J19" s="6"/>
      <c r="K19" s="6"/>
      <c r="L19" s="3">
        <v>11</v>
      </c>
    </row>
    <row r="20" spans="1:12" x14ac:dyDescent="0.35">
      <c r="A20" s="9" t="s">
        <v>501</v>
      </c>
      <c r="B20" s="9"/>
      <c r="C20" s="9"/>
      <c r="D20" s="9"/>
      <c r="E20" s="9"/>
      <c r="F20" s="9"/>
      <c r="G20" s="9"/>
      <c r="H20" s="9"/>
      <c r="I20" s="121">
        <f>I21</f>
        <v>-314.38925314533969</v>
      </c>
      <c r="J20" s="131">
        <v>372</v>
      </c>
      <c r="K20" s="38">
        <f>J20+I20-L21</f>
        <v>46.610746854660306</v>
      </c>
      <c r="L20" s="3"/>
    </row>
    <row r="21" spans="1:12" x14ac:dyDescent="0.35">
      <c r="A21" s="3" t="s">
        <v>526</v>
      </c>
      <c r="B21" s="133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E21/$E$77*$F$77</f>
        <v>194.29582847258533</v>
      </c>
      <c r="G21" s="3">
        <f t="shared" si="1"/>
        <v>314.38925314533969</v>
      </c>
      <c r="H21" s="123"/>
      <c r="I21" s="124">
        <f t="shared" si="2"/>
        <v>-314.38925314533969</v>
      </c>
      <c r="J21" s="6"/>
      <c r="K21" s="6"/>
      <c r="L21" s="3">
        <v>11</v>
      </c>
    </row>
    <row r="22" spans="1:12" x14ac:dyDescent="0.35">
      <c r="A22" s="9" t="s">
        <v>499</v>
      </c>
      <c r="B22" s="9"/>
      <c r="C22" s="9"/>
      <c r="D22" s="9"/>
      <c r="E22" s="9"/>
      <c r="F22" s="9"/>
      <c r="G22" s="9"/>
      <c r="H22" s="9"/>
      <c r="I22" s="121">
        <f>I23</f>
        <v>-314.38925314533969</v>
      </c>
      <c r="J22" s="131">
        <f>300</f>
        <v>300</v>
      </c>
      <c r="K22" s="38">
        <f>J22+I22-L23</f>
        <v>-25.389253145339694</v>
      </c>
      <c r="L22" s="3"/>
    </row>
    <row r="23" spans="1:12" x14ac:dyDescent="0.35">
      <c r="A23" s="3" t="s">
        <v>526</v>
      </c>
      <c r="B23" s="133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3"/>
      <c r="I23" s="124">
        <f t="shared" si="2"/>
        <v>-314.38925314533969</v>
      </c>
      <c r="J23" s="6"/>
      <c r="K23" s="6"/>
      <c r="L23" s="3">
        <v>11</v>
      </c>
    </row>
    <row r="24" spans="1:12" x14ac:dyDescent="0.35">
      <c r="A24" s="9" t="s">
        <v>436</v>
      </c>
      <c r="B24" s="9"/>
      <c r="C24" s="9"/>
      <c r="D24" s="9"/>
      <c r="E24" s="9"/>
      <c r="F24" s="9"/>
      <c r="G24" s="9"/>
      <c r="H24" s="9"/>
      <c r="I24" s="121">
        <f>I25</f>
        <v>-628.77850629067939</v>
      </c>
      <c r="J24" s="131">
        <v>596</v>
      </c>
      <c r="K24" s="38">
        <f>J24+I24-L25</f>
        <v>-43.778506290679388</v>
      </c>
      <c r="L24" s="3"/>
    </row>
    <row r="25" spans="1:12" x14ac:dyDescent="0.35">
      <c r="A25" s="3" t="s">
        <v>527</v>
      </c>
      <c r="B25" s="133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E25/$E$77*$F$77</f>
        <v>388.59165694517066</v>
      </c>
      <c r="G25" s="3">
        <f t="shared" si="1"/>
        <v>628.77850629067939</v>
      </c>
      <c r="H25" s="123"/>
      <c r="I25" s="124">
        <f t="shared" si="2"/>
        <v>-628.77850629067939</v>
      </c>
      <c r="J25" s="6"/>
      <c r="K25" s="6"/>
      <c r="L25" s="3">
        <v>11</v>
      </c>
    </row>
    <row r="26" spans="1:12" x14ac:dyDescent="0.35">
      <c r="A26" s="9" t="s">
        <v>528</v>
      </c>
      <c r="B26" s="9"/>
      <c r="C26" s="9"/>
      <c r="D26" s="84"/>
      <c r="E26" s="9"/>
      <c r="F26" s="10"/>
      <c r="G26" s="10"/>
      <c r="H26" s="123"/>
      <c r="I26" s="121">
        <f>SUM(I27)</f>
        <v>-628.77850629067939</v>
      </c>
      <c r="J26" s="38">
        <v>600</v>
      </c>
      <c r="K26" s="38">
        <f>J26+I26</f>
        <v>-28.778506290679388</v>
      </c>
      <c r="L26" s="3"/>
    </row>
    <row r="27" spans="1:12" x14ac:dyDescent="0.35">
      <c r="A27" s="3" t="s">
        <v>527</v>
      </c>
      <c r="B27" s="133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3"/>
      <c r="I27" s="124">
        <f>H27-G27</f>
        <v>-628.77850629067939</v>
      </c>
      <c r="J27" s="6"/>
      <c r="K27" s="3"/>
      <c r="L27" s="3"/>
    </row>
    <row r="28" spans="1:12" x14ac:dyDescent="0.35">
      <c r="A28" s="9" t="s">
        <v>529</v>
      </c>
      <c r="B28" s="9"/>
      <c r="C28" s="9"/>
      <c r="D28" s="9"/>
      <c r="E28" s="9"/>
      <c r="F28" s="9"/>
      <c r="G28" s="9"/>
      <c r="H28" s="123"/>
      <c r="I28" s="121">
        <f>I29</f>
        <v>-628.77850629067939</v>
      </c>
      <c r="J28" s="43">
        <v>600</v>
      </c>
      <c r="K28" s="38">
        <f>J28+I28-L29</f>
        <v>-39.778506290679388</v>
      </c>
      <c r="L28" s="3"/>
    </row>
    <row r="29" spans="1:12" x14ac:dyDescent="0.35">
      <c r="A29" s="3" t="s">
        <v>527</v>
      </c>
      <c r="B29" s="133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 t="shared" ref="G29" si="4">(C29)*$B$1+D29*$B$1+F29*$B$1</f>
        <v>628.77850629067939</v>
      </c>
      <c r="H29" s="123"/>
      <c r="I29" s="124">
        <f t="shared" ref="I29" si="5">H29-G29</f>
        <v>-628.77850629067939</v>
      </c>
      <c r="J29" s="6"/>
      <c r="K29" s="3"/>
      <c r="L29" s="3">
        <v>11</v>
      </c>
    </row>
    <row r="30" spans="1:12" x14ac:dyDescent="0.35">
      <c r="A30" s="9" t="s">
        <v>433</v>
      </c>
      <c r="B30" s="9"/>
      <c r="C30" s="9"/>
      <c r="D30" s="9"/>
      <c r="E30" s="9"/>
      <c r="F30" s="9"/>
      <c r="G30" s="9"/>
      <c r="H30" s="123"/>
      <c r="I30" s="121">
        <f>I31</f>
        <v>-628.77850629067939</v>
      </c>
      <c r="J30" s="43">
        <v>601</v>
      </c>
      <c r="K30" s="38">
        <f>J30+I30</f>
        <v>-27.778506290679388</v>
      </c>
      <c r="L30" s="3"/>
    </row>
    <row r="31" spans="1:12" x14ac:dyDescent="0.35">
      <c r="A31" s="3" t="s">
        <v>527</v>
      </c>
      <c r="B31" s="133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 t="shared" ref="G31" si="7">(C31)*$B$1+D31*$B$1+F31*$B$1</f>
        <v>628.77850629067939</v>
      </c>
      <c r="H31" s="123"/>
      <c r="I31" s="124">
        <f t="shared" ref="I31" si="8">H31-G31</f>
        <v>-628.77850629067939</v>
      </c>
      <c r="J31" s="6"/>
      <c r="K31" s="3"/>
      <c r="L31" s="3">
        <v>11</v>
      </c>
    </row>
    <row r="32" spans="1:12" x14ac:dyDescent="0.35">
      <c r="A32" s="9" t="s">
        <v>530</v>
      </c>
      <c r="B32" s="9"/>
      <c r="C32" s="9"/>
      <c r="D32" s="9"/>
      <c r="E32" s="9"/>
      <c r="F32" s="9"/>
      <c r="G32" s="9"/>
      <c r="H32" s="123"/>
      <c r="I32" s="121">
        <f>I33</f>
        <v>-628.77850629067939</v>
      </c>
      <c r="J32" s="43">
        <v>600</v>
      </c>
      <c r="K32" s="38">
        <f>J32+I32-L33</f>
        <v>-39.778506290679388</v>
      </c>
      <c r="L32" s="3"/>
    </row>
    <row r="33" spans="1:12" x14ac:dyDescent="0.35">
      <c r="A33" s="3" t="s">
        <v>527</v>
      </c>
      <c r="B33" s="133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 t="shared" ref="G33" si="10">(C33)*$B$1+D33*$B$1+F33*$B$1</f>
        <v>628.77850629067939</v>
      </c>
      <c r="H33" s="123"/>
      <c r="I33" s="124">
        <f t="shared" ref="I33" si="11">H33-G33</f>
        <v>-628.77850629067939</v>
      </c>
      <c r="J33" s="6"/>
      <c r="K33" s="3"/>
      <c r="L33" s="3">
        <v>11</v>
      </c>
    </row>
    <row r="34" spans="1:12" x14ac:dyDescent="0.35">
      <c r="A34" s="9" t="s">
        <v>531</v>
      </c>
      <c r="B34" s="9"/>
      <c r="C34" s="9"/>
      <c r="D34" s="9"/>
      <c r="E34" s="9"/>
      <c r="F34" s="9"/>
      <c r="G34" s="9"/>
      <c r="H34" s="9"/>
      <c r="I34" s="121">
        <f>I35</f>
        <v>-569.6517462906794</v>
      </c>
      <c r="J34" s="131">
        <v>538</v>
      </c>
      <c r="K34" s="38">
        <f>J34+I34-L35</f>
        <v>-42.651746290679398</v>
      </c>
      <c r="L34" s="3"/>
    </row>
    <row r="35" spans="1:12" x14ac:dyDescent="0.35">
      <c r="A35" s="3" t="s">
        <v>532</v>
      </c>
      <c r="B35" s="133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 t="shared" ref="G35" si="13">(C35)*$B$1+D35*$B$1+F35*$B$1</f>
        <v>569.6517462906794</v>
      </c>
      <c r="H35" s="123"/>
      <c r="I35" s="124">
        <f t="shared" ref="I35" si="14">H35-G35</f>
        <v>-569.6517462906794</v>
      </c>
      <c r="J35" s="6"/>
      <c r="K35" s="6"/>
      <c r="L35" s="3">
        <v>11</v>
      </c>
    </row>
    <row r="36" spans="1:12" x14ac:dyDescent="0.35">
      <c r="A36" s="9" t="s">
        <v>533</v>
      </c>
      <c r="B36" s="9"/>
      <c r="C36" s="9"/>
      <c r="D36" s="9"/>
      <c r="E36" s="9"/>
      <c r="F36" s="9"/>
      <c r="G36" s="9"/>
      <c r="H36" s="9"/>
      <c r="I36" s="121">
        <f>I37+I38</f>
        <v>-2056.7801965123294</v>
      </c>
      <c r="J36" s="131">
        <v>1964</v>
      </c>
      <c r="K36" s="38">
        <f>J36+I36-L37-L38</f>
        <v>-92.780196512329439</v>
      </c>
      <c r="L36" s="3"/>
    </row>
    <row r="37" spans="1:12" x14ac:dyDescent="0.35">
      <c r="A37" s="98" t="s">
        <v>534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E37/$E$77*$F$77</f>
        <v>549.09690655295856</v>
      </c>
      <c r="G37" s="3">
        <f t="shared" si="1"/>
        <v>1015.3615893237862</v>
      </c>
      <c r="H37" s="123"/>
      <c r="I37" s="124">
        <f t="shared" si="2"/>
        <v>-1015.3615893237862</v>
      </c>
      <c r="J37" s="6"/>
      <c r="K37" s="6"/>
      <c r="L37" s="3"/>
    </row>
    <row r="38" spans="1:12" x14ac:dyDescent="0.35">
      <c r="A38" s="98" t="s">
        <v>535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E38/$E$77*$F$77</f>
        <v>658.91628786355034</v>
      </c>
      <c r="G38" s="3">
        <f t="shared" si="1"/>
        <v>1041.4186071885433</v>
      </c>
      <c r="H38" s="123"/>
      <c r="I38" s="124">
        <f t="shared" si="2"/>
        <v>-1041.4186071885433</v>
      </c>
      <c r="J38" s="6"/>
      <c r="K38" s="6"/>
      <c r="L38" s="3"/>
    </row>
    <row r="39" spans="1:12" x14ac:dyDescent="0.35">
      <c r="A39" s="9" t="s">
        <v>536</v>
      </c>
      <c r="B39" s="9"/>
      <c r="C39" s="9"/>
      <c r="D39" s="9"/>
      <c r="E39" s="9"/>
      <c r="F39" s="9"/>
      <c r="G39" s="9"/>
      <c r="H39" s="9"/>
      <c r="I39" s="121">
        <f>I40+I41</f>
        <v>-2655.0242588961746</v>
      </c>
      <c r="J39" s="131">
        <v>2547</v>
      </c>
      <c r="K39" s="38">
        <f>J39+I39-L40-L41</f>
        <v>-108.02425889617462</v>
      </c>
      <c r="L39" s="3"/>
    </row>
    <row r="40" spans="1:12" x14ac:dyDescent="0.35">
      <c r="A40" s="113" t="s">
        <v>537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E40/$E$77*$F$77</f>
        <v>527.13303029084022</v>
      </c>
      <c r="G40" s="3">
        <f t="shared" si="1"/>
        <v>1750.0973657508348</v>
      </c>
      <c r="H40" s="123"/>
      <c r="I40" s="124">
        <f t="shared" si="2"/>
        <v>-1750.0973657508348</v>
      </c>
      <c r="J40" s="6"/>
      <c r="K40" s="6"/>
      <c r="L40" s="3"/>
    </row>
    <row r="41" spans="1:12" x14ac:dyDescent="0.35">
      <c r="A41" s="98" t="s">
        <v>538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E41/$E$77*$F$77</f>
        <v>194.29582847258533</v>
      </c>
      <c r="G41" s="3">
        <f t="shared" si="1"/>
        <v>904.9268931453397</v>
      </c>
      <c r="H41" s="123"/>
      <c r="I41" s="124">
        <f t="shared" si="2"/>
        <v>-904.9268931453397</v>
      </c>
      <c r="J41" s="6"/>
      <c r="K41" s="6"/>
      <c r="L41" s="3"/>
    </row>
    <row r="42" spans="1:12" x14ac:dyDescent="0.35">
      <c r="A42" s="9" t="s">
        <v>13</v>
      </c>
      <c r="B42" s="9"/>
      <c r="C42" s="9"/>
      <c r="D42" s="9"/>
      <c r="E42" s="9"/>
      <c r="F42" s="9"/>
      <c r="G42" s="9"/>
      <c r="H42" s="9"/>
      <c r="I42" s="121">
        <f>I43+I44</f>
        <v>-2902.1773615229895</v>
      </c>
      <c r="J42" s="131">
        <v>2833</v>
      </c>
      <c r="K42" s="38">
        <f>J42+I42-L43-L44</f>
        <v>-69.177361522989486</v>
      </c>
      <c r="L42" s="3"/>
    </row>
    <row r="43" spans="1:12" x14ac:dyDescent="0.35">
      <c r="A43" s="98" t="s">
        <v>539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E43/$E$77*$F$77</f>
        <v>263.56651514542011</v>
      </c>
      <c r="G43" s="3">
        <f t="shared" si="1"/>
        <v>797.84988287541739</v>
      </c>
      <c r="H43" s="123"/>
      <c r="I43" s="124">
        <f t="shared" si="2"/>
        <v>-797.84988287541739</v>
      </c>
      <c r="J43" s="6"/>
      <c r="K43" s="6"/>
      <c r="L43" s="3"/>
    </row>
    <row r="44" spans="1:12" x14ac:dyDescent="0.35">
      <c r="A44" s="3" t="s">
        <v>540</v>
      </c>
      <c r="B44" s="3">
        <v>1</v>
      </c>
      <c r="C44" s="3">
        <v>2461</v>
      </c>
      <c r="D44" s="3">
        <f t="shared" si="0"/>
        <v>246.10000000000002</v>
      </c>
      <c r="E44" s="3">
        <v>0.65</v>
      </c>
      <c r="F44" s="3">
        <f>E44/$E$77*$F$77</f>
        <v>1098.1938131059171</v>
      </c>
      <c r="G44" s="3">
        <f t="shared" si="1"/>
        <v>2104.3274786475722</v>
      </c>
      <c r="H44" s="123"/>
      <c r="I44" s="124">
        <f t="shared" si="2"/>
        <v>-2104.3274786475722</v>
      </c>
      <c r="J44" s="6"/>
      <c r="K44" s="6"/>
      <c r="L44" s="3"/>
    </row>
    <row r="45" spans="1:12" x14ac:dyDescent="0.35">
      <c r="A45" s="9" t="s">
        <v>541</v>
      </c>
      <c r="B45" s="9"/>
      <c r="C45" s="9"/>
      <c r="D45" s="9"/>
      <c r="E45" s="9"/>
      <c r="F45" s="9"/>
      <c r="G45" s="9"/>
      <c r="H45" s="9"/>
      <c r="I45" s="121">
        <f>I46+I47</f>
        <v>-884.52763943601917</v>
      </c>
      <c r="J45" s="131">
        <v>844</v>
      </c>
      <c r="K45" s="38">
        <f>J45+I45-L46-L47</f>
        <v>-62.527639436019172</v>
      </c>
      <c r="L45" s="3"/>
    </row>
    <row r="46" spans="1:12" x14ac:dyDescent="0.35">
      <c r="A46" s="3" t="s">
        <v>526</v>
      </c>
      <c r="B46" s="133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 t="shared" ref="G46:G47" si="16">(C46)*$B$1+D46*$B$1+F46*$B$1</f>
        <v>314.38925314533969</v>
      </c>
      <c r="H46" s="123"/>
      <c r="I46" s="124">
        <f t="shared" ref="I46:I47" si="17">H46-G46</f>
        <v>-314.38925314533969</v>
      </c>
      <c r="J46" s="6"/>
      <c r="K46" s="6"/>
      <c r="L46" s="3">
        <v>11</v>
      </c>
    </row>
    <row r="47" spans="1:12" x14ac:dyDescent="0.35">
      <c r="A47" s="113" t="s">
        <v>525</v>
      </c>
      <c r="B47" s="133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E47/$E$77*$F$77</f>
        <v>388.59165694517066</v>
      </c>
      <c r="G47" s="3">
        <f t="shared" si="16"/>
        <v>570.13838629067948</v>
      </c>
      <c r="H47" s="123"/>
      <c r="I47" s="124">
        <f t="shared" si="17"/>
        <v>-570.13838629067948</v>
      </c>
      <c r="J47" s="6"/>
      <c r="K47" s="6"/>
      <c r="L47" s="3">
        <v>11</v>
      </c>
    </row>
    <row r="48" spans="1:12" x14ac:dyDescent="0.35">
      <c r="A48" s="9" t="s">
        <v>542</v>
      </c>
      <c r="B48" s="9"/>
      <c r="C48" s="9"/>
      <c r="D48" s="9"/>
      <c r="E48" s="9"/>
      <c r="F48" s="9"/>
      <c r="G48" s="9"/>
      <c r="H48" s="9"/>
      <c r="I48" s="121">
        <f>I49+I50</f>
        <v>-1169.5968325813587</v>
      </c>
      <c r="J48" s="131">
        <v>1116</v>
      </c>
      <c r="K48" s="38">
        <f>J48+I48-L49-L50</f>
        <v>-75.59683258135874</v>
      </c>
      <c r="L48" s="3"/>
    </row>
    <row r="49" spans="1:12" x14ac:dyDescent="0.35">
      <c r="A49" s="3" t="s">
        <v>526</v>
      </c>
      <c r="B49" s="133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 t="shared" ref="G49:G50" si="19">(C49)*$B$1+D49*$B$1+F49*$B$1</f>
        <v>314.38925314533969</v>
      </c>
      <c r="H49" s="123"/>
      <c r="I49" s="124">
        <f t="shared" ref="I49:I50" si="20">H49-G49</f>
        <v>-314.38925314533969</v>
      </c>
      <c r="J49" s="6"/>
      <c r="K49" s="6"/>
      <c r="L49" s="3">
        <v>11</v>
      </c>
    </row>
    <row r="50" spans="1:12" x14ac:dyDescent="0.35">
      <c r="A50" s="113" t="s">
        <v>543</v>
      </c>
      <c r="B50" s="133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E50/$E$77*$F$77</f>
        <v>582.88748541775601</v>
      </c>
      <c r="G50" s="3">
        <f t="shared" si="19"/>
        <v>855.20757943601916</v>
      </c>
      <c r="H50" s="123"/>
      <c r="I50" s="124">
        <f t="shared" si="20"/>
        <v>-855.20757943601916</v>
      </c>
      <c r="J50" s="6"/>
      <c r="K50" s="6"/>
      <c r="L50" s="3">
        <v>11</v>
      </c>
    </row>
    <row r="51" spans="1:12" x14ac:dyDescent="0.35">
      <c r="A51" s="9" t="s">
        <v>544</v>
      </c>
      <c r="B51" s="9"/>
      <c r="C51" s="9"/>
      <c r="D51" s="9"/>
      <c r="E51" s="9"/>
      <c r="F51" s="9"/>
      <c r="G51" s="9"/>
      <c r="H51" s="9"/>
      <c r="I51" s="121">
        <f>I52+I53</f>
        <v>-1709.4418788720382</v>
      </c>
      <c r="J51" s="131">
        <v>1630</v>
      </c>
      <c r="K51" s="38">
        <f>J51+I51-L52-L53</f>
        <v>-90.44187887203816</v>
      </c>
      <c r="L51" s="3"/>
    </row>
    <row r="52" spans="1:12" x14ac:dyDescent="0.35">
      <c r="A52" s="113" t="s">
        <v>525</v>
      </c>
      <c r="B52" s="133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 t="shared" ref="G52:G53" si="22">(C52)*$B$1+D52*$B$1+F52*$B$1</f>
        <v>570.13838629067948</v>
      </c>
      <c r="H52" s="123"/>
      <c r="I52" s="124">
        <f t="shared" ref="I52:I53" si="23">H52-G52</f>
        <v>-570.13838629067948</v>
      </c>
      <c r="J52" s="6"/>
      <c r="K52" s="6"/>
      <c r="L52" s="3"/>
    </row>
    <row r="53" spans="1:12" x14ac:dyDescent="0.35">
      <c r="A53" s="3" t="s">
        <v>545</v>
      </c>
      <c r="B53" s="133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E53/$E$77*$F$77</f>
        <v>777.18331389034131</v>
      </c>
      <c r="G53" s="3">
        <f t="shared" si="22"/>
        <v>1139.3034925813588</v>
      </c>
      <c r="H53" s="123"/>
      <c r="I53" s="124">
        <f t="shared" si="23"/>
        <v>-1139.3034925813588</v>
      </c>
      <c r="J53" s="6"/>
      <c r="K53" s="6"/>
      <c r="L53" s="3">
        <v>11</v>
      </c>
    </row>
    <row r="54" spans="1:12" x14ac:dyDescent="0.35">
      <c r="A54" s="9" t="s">
        <v>546</v>
      </c>
      <c r="B54" s="9"/>
      <c r="C54" s="9"/>
      <c r="D54" s="9"/>
      <c r="E54" s="9"/>
      <c r="F54" s="9"/>
      <c r="G54" s="9"/>
      <c r="H54" s="9"/>
      <c r="I54" s="121">
        <f>I55+I56</f>
        <v>-569.89506629067944</v>
      </c>
      <c r="J54" s="131">
        <v>543</v>
      </c>
      <c r="K54" s="38">
        <f>J54+I54-L55-L56</f>
        <v>-48.895066290679438</v>
      </c>
      <c r="L54" s="3"/>
    </row>
    <row r="55" spans="1:12" x14ac:dyDescent="0.35">
      <c r="A55" s="113" t="s">
        <v>547</v>
      </c>
      <c r="B55" s="133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 t="shared" ref="G55:G56" si="25">(C55)*$B$1+D55*$B$1+F55*$B$1</f>
        <v>285.06919314533974</v>
      </c>
      <c r="H55" s="123"/>
      <c r="I55" s="124">
        <f t="shared" ref="I55:I56" si="26">H55-G55</f>
        <v>-285.06919314533974</v>
      </c>
      <c r="J55" s="6"/>
      <c r="K55" s="6"/>
      <c r="L55" s="3">
        <v>11</v>
      </c>
    </row>
    <row r="56" spans="1:12" x14ac:dyDescent="0.35">
      <c r="A56" s="3" t="s">
        <v>548</v>
      </c>
      <c r="B56" s="133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E56/$E$77*$F$77</f>
        <v>194.29582847258533</v>
      </c>
      <c r="G56" s="3">
        <f t="shared" si="25"/>
        <v>284.8258731453397</v>
      </c>
      <c r="H56" s="123"/>
      <c r="I56" s="124">
        <f t="shared" si="26"/>
        <v>-284.8258731453397</v>
      </c>
      <c r="J56" s="6"/>
      <c r="K56" s="6"/>
      <c r="L56" s="3">
        <v>11</v>
      </c>
    </row>
    <row r="57" spans="1:12" x14ac:dyDescent="0.35">
      <c r="A57" s="9" t="s">
        <v>484</v>
      </c>
      <c r="B57" s="9"/>
      <c r="C57" s="9"/>
      <c r="D57" s="9"/>
      <c r="E57" s="9"/>
      <c r="F57" s="9"/>
      <c r="G57" s="9"/>
      <c r="H57" s="9"/>
      <c r="I57" s="121">
        <f>SUM(I58:I60)</f>
        <v>-2293.4495051627177</v>
      </c>
      <c r="J57" s="131">
        <v>2188</v>
      </c>
      <c r="K57" s="38">
        <f>J57+I57-L58-L59-L60</f>
        <v>-127.44950516271774</v>
      </c>
      <c r="L57" s="3"/>
    </row>
    <row r="58" spans="1:12" x14ac:dyDescent="0.35">
      <c r="A58" s="113" t="s">
        <v>549</v>
      </c>
      <c r="B58" s="133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E58/$E$77*$F$77</f>
        <v>194.29582847258533</v>
      </c>
      <c r="G58" s="3">
        <f t="shared" si="1"/>
        <v>298.69511314533975</v>
      </c>
      <c r="H58" s="123"/>
      <c r="I58" s="124">
        <f t="shared" si="2"/>
        <v>-298.69511314533975</v>
      </c>
      <c r="J58" s="6"/>
      <c r="K58" s="6"/>
      <c r="L58" s="3">
        <v>11</v>
      </c>
    </row>
    <row r="59" spans="1:12" x14ac:dyDescent="0.35">
      <c r="A59" s="113" t="s">
        <v>550</v>
      </c>
      <c r="B59" s="133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E59/$E$77*$F$77</f>
        <v>777.18331389034131</v>
      </c>
      <c r="G59" s="3">
        <f t="shared" si="1"/>
        <v>1140.276772581359</v>
      </c>
      <c r="H59" s="123"/>
      <c r="I59" s="124">
        <f t="shared" si="2"/>
        <v>-1140.276772581359</v>
      </c>
      <c r="J59" s="6"/>
      <c r="K59" s="6"/>
      <c r="L59" s="3"/>
    </row>
    <row r="60" spans="1:12" x14ac:dyDescent="0.35">
      <c r="A60" s="3" t="s">
        <v>551</v>
      </c>
      <c r="B60" s="133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E60/$E$77*$F$77</f>
        <v>582.88748541775601</v>
      </c>
      <c r="G60" s="3">
        <f t="shared" si="1"/>
        <v>854.47761943601915</v>
      </c>
      <c r="H60" s="123"/>
      <c r="I60" s="124">
        <f t="shared" si="2"/>
        <v>-854.47761943601915</v>
      </c>
      <c r="J60" s="6"/>
      <c r="K60" s="6"/>
      <c r="L60" s="3">
        <v>11</v>
      </c>
    </row>
    <row r="61" spans="1:12" x14ac:dyDescent="0.35">
      <c r="A61" s="9" t="s">
        <v>555</v>
      </c>
      <c r="B61" s="9"/>
      <c r="C61" s="9"/>
      <c r="D61" s="9"/>
      <c r="E61" s="9"/>
      <c r="F61" s="9"/>
      <c r="G61" s="9"/>
      <c r="H61" s="9"/>
      <c r="I61" s="121">
        <f>SUM(I62:I64)</f>
        <v>-4810.3835171921637</v>
      </c>
      <c r="J61" s="131">
        <f>4009+586</f>
        <v>4595</v>
      </c>
      <c r="K61" s="38">
        <f>J61+I61-L62-L64</f>
        <v>-215.38351719216371</v>
      </c>
      <c r="L61" s="3"/>
    </row>
    <row r="62" spans="1:12" x14ac:dyDescent="0.35">
      <c r="A62" s="3" t="s">
        <v>556</v>
      </c>
      <c r="B62" s="3">
        <v>1</v>
      </c>
      <c r="C62" s="3">
        <v>2359</v>
      </c>
      <c r="D62" s="3">
        <f t="shared" si="0"/>
        <v>235.9</v>
      </c>
      <c r="E62" s="3">
        <f>0.6*1.3</f>
        <v>0.78</v>
      </c>
      <c r="F62" s="3">
        <f>E62/$E$77*$F$77</f>
        <v>1317.8325757271007</v>
      </c>
      <c r="G62" s="3">
        <f t="shared" si="1"/>
        <v>2163.7411143770869</v>
      </c>
      <c r="H62" s="123"/>
      <c r="I62" s="124">
        <f t="shared" si="2"/>
        <v>-2163.7411143770869</v>
      </c>
      <c r="J62" s="6"/>
      <c r="K62" s="6"/>
      <c r="L62" s="3"/>
    </row>
    <row r="63" spans="1:12" x14ac:dyDescent="0.35">
      <c r="A63" s="3" t="s">
        <v>557</v>
      </c>
      <c r="B63" s="3">
        <v>1</v>
      </c>
      <c r="C63" s="3">
        <v>1215</v>
      </c>
      <c r="D63" s="3">
        <f t="shared" si="0"/>
        <v>121.5</v>
      </c>
      <c r="E63" s="3">
        <f>0.095*1.3</f>
        <v>0.12350000000000001</v>
      </c>
      <c r="F63" s="3">
        <f>E63/$E$77*$F$77</f>
        <v>208.65682449012428</v>
      </c>
      <c r="G63" s="3">
        <f t="shared" si="1"/>
        <v>854.47172394303891</v>
      </c>
      <c r="H63" s="123"/>
      <c r="I63" s="124">
        <f t="shared" si="2"/>
        <v>-854.47172394303891</v>
      </c>
      <c r="J63" s="6"/>
      <c r="K63" s="6"/>
      <c r="L63" s="3"/>
    </row>
    <row r="64" spans="1:12" x14ac:dyDescent="0.35">
      <c r="A64" s="98" t="s">
        <v>558</v>
      </c>
      <c r="B64" s="133">
        <v>1</v>
      </c>
      <c r="C64" s="3">
        <f>3144/1000*600</f>
        <v>1886.4</v>
      </c>
      <c r="D64" s="3">
        <f t="shared" si="0"/>
        <v>188.64000000000001</v>
      </c>
      <c r="E64" s="3">
        <f>0.6*1.15</f>
        <v>0.69</v>
      </c>
      <c r="F64" s="3">
        <f>E64/$E$77*$F$77</f>
        <v>1165.774970835512</v>
      </c>
      <c r="G64" s="3">
        <f t="shared" si="1"/>
        <v>1792.1706788720383</v>
      </c>
      <c r="H64" s="123"/>
      <c r="I64" s="124">
        <f t="shared" si="2"/>
        <v>-1792.1706788720383</v>
      </c>
      <c r="J64" s="6"/>
      <c r="K64" s="3"/>
      <c r="L64" s="3"/>
    </row>
    <row r="65" spans="1:13" x14ac:dyDescent="0.35">
      <c r="A65" s="9" t="s">
        <v>283</v>
      </c>
      <c r="B65" s="9"/>
      <c r="C65" s="9"/>
      <c r="D65" s="9"/>
      <c r="E65" s="9"/>
      <c r="F65" s="9"/>
      <c r="G65" s="9"/>
      <c r="H65" s="9"/>
      <c r="I65" s="121">
        <f>SUM(I66:I68)</f>
        <v>-5475.7320689786393</v>
      </c>
      <c r="J65" s="131">
        <v>5209</v>
      </c>
      <c r="K65" s="38">
        <f>J65+I65-L66</f>
        <v>-266.73206897863929</v>
      </c>
      <c r="L65" s="3"/>
    </row>
    <row r="66" spans="1:13" x14ac:dyDescent="0.35">
      <c r="A66" s="113" t="s">
        <v>559</v>
      </c>
      <c r="B66" s="3">
        <v>1</v>
      </c>
      <c r="C66" s="3">
        <v>1752</v>
      </c>
      <c r="D66" s="3">
        <f t="shared" si="0"/>
        <v>175.20000000000002</v>
      </c>
      <c r="E66" s="3">
        <f>0.1*1.3</f>
        <v>0.13</v>
      </c>
      <c r="F66" s="3">
        <f>E66/$E$77*$F$77</f>
        <v>219.63876262118342</v>
      </c>
      <c r="G66" s="3">
        <f t="shared" si="1"/>
        <v>1187.2018357295144</v>
      </c>
      <c r="H66" s="123"/>
      <c r="I66" s="124">
        <f t="shared" si="2"/>
        <v>-1187.2018357295144</v>
      </c>
      <c r="J66" s="6"/>
      <c r="K66" s="3"/>
      <c r="L66" s="3"/>
    </row>
    <row r="67" spans="1:13" x14ac:dyDescent="0.35">
      <c r="A67" s="3" t="s">
        <v>455</v>
      </c>
      <c r="B67" s="3">
        <v>1</v>
      </c>
      <c r="C67" s="3">
        <v>2751</v>
      </c>
      <c r="D67" s="3">
        <f t="shared" si="0"/>
        <v>275.10000000000002</v>
      </c>
      <c r="E67" s="3">
        <f>0.6*1.3</f>
        <v>0.78</v>
      </c>
      <c r="F67" s="3">
        <f>E67/$E$77*$F$77</f>
        <v>1317.8325757271007</v>
      </c>
      <c r="G67" s="3">
        <f t="shared" si="1"/>
        <v>2402.1947143770867</v>
      </c>
      <c r="H67" s="123"/>
      <c r="I67" s="124">
        <f t="shared" si="2"/>
        <v>-2402.1947143770867</v>
      </c>
      <c r="J67" s="6"/>
      <c r="K67" s="3"/>
      <c r="L67" s="3"/>
    </row>
    <row r="68" spans="1:13" x14ac:dyDescent="0.35">
      <c r="A68" s="3" t="s">
        <v>560</v>
      </c>
      <c r="B68" s="133">
        <v>1</v>
      </c>
      <c r="C68" s="3">
        <f>3402/1000*600</f>
        <v>2041.2</v>
      </c>
      <c r="D68" s="3">
        <f t="shared" si="0"/>
        <v>204.12</v>
      </c>
      <c r="E68" s="3">
        <f>0.6*1.15</f>
        <v>0.69</v>
      </c>
      <c r="F68" s="3">
        <f>E68/$E$77*$F$77</f>
        <v>1165.774970835512</v>
      </c>
      <c r="G68" s="3">
        <f t="shared" si="1"/>
        <v>1886.3355188720384</v>
      </c>
      <c r="H68" s="123"/>
      <c r="I68" s="124">
        <f t="shared" si="2"/>
        <v>-1886.3355188720384</v>
      </c>
      <c r="J68" s="6"/>
      <c r="K68" s="3"/>
      <c r="L68" s="3"/>
    </row>
    <row r="69" spans="1:13" x14ac:dyDescent="0.35">
      <c r="A69" s="9" t="s">
        <v>443</v>
      </c>
      <c r="B69" s="9"/>
      <c r="C69" s="9"/>
      <c r="D69" s="9"/>
      <c r="E69" s="9"/>
      <c r="F69" s="9"/>
      <c r="G69" s="9"/>
      <c r="H69" s="9"/>
      <c r="I69" s="121">
        <f>SUM(I70:I74)</f>
        <v>-3480.5593176346601</v>
      </c>
      <c r="J69" s="131">
        <f>2220+1100</f>
        <v>3320</v>
      </c>
      <c r="K69" s="38">
        <f>J69+I69-L70-L71-L72-L73-L74</f>
        <v>-179.05931763466015</v>
      </c>
      <c r="L69" s="3"/>
    </row>
    <row r="70" spans="1:13" x14ac:dyDescent="0.35">
      <c r="A70" s="3" t="s">
        <v>561</v>
      </c>
      <c r="B70" s="3">
        <v>1</v>
      </c>
      <c r="C70" s="3">
        <v>974</v>
      </c>
      <c r="D70" s="3">
        <f t="shared" si="0"/>
        <v>97.4</v>
      </c>
      <c r="E70" s="3">
        <f>0.12*1.3</f>
        <v>0.156</v>
      </c>
      <c r="F70" s="3">
        <f>E70/$E$77*$F$77</f>
        <v>263.56651514542011</v>
      </c>
      <c r="G70" s="3">
        <f t="shared" si="1"/>
        <v>738.23648287541744</v>
      </c>
      <c r="H70" s="123"/>
      <c r="I70" s="124">
        <f t="shared" si="2"/>
        <v>-738.23648287541744</v>
      </c>
      <c r="J70" s="6"/>
      <c r="K70" s="3"/>
      <c r="L70" s="3"/>
    </row>
    <row r="71" spans="1:13" x14ac:dyDescent="0.35">
      <c r="A71" s="3" t="s">
        <v>562</v>
      </c>
      <c r="B71" s="3">
        <v>1</v>
      </c>
      <c r="C71" s="3">
        <v>840</v>
      </c>
      <c r="D71" s="3">
        <f t="shared" si="0"/>
        <v>84</v>
      </c>
      <c r="E71" s="3">
        <f>0.13*1.3</f>
        <v>0.16900000000000001</v>
      </c>
      <c r="F71" s="3">
        <f>E71/$E$77*$F$77</f>
        <v>285.53039140753845</v>
      </c>
      <c r="G71" s="3">
        <f t="shared" si="1"/>
        <v>668.87030644836886</v>
      </c>
      <c r="H71" s="123"/>
      <c r="I71" s="124">
        <f t="shared" si="2"/>
        <v>-668.87030644836886</v>
      </c>
      <c r="J71" s="6"/>
      <c r="K71" s="3"/>
      <c r="L71" s="3"/>
    </row>
    <row r="72" spans="1:13" x14ac:dyDescent="0.35">
      <c r="A72" s="3" t="s">
        <v>519</v>
      </c>
      <c r="B72" s="3">
        <v>1</v>
      </c>
      <c r="C72" s="3">
        <v>1312</v>
      </c>
      <c r="D72" s="3">
        <f t="shared" si="0"/>
        <v>131.20000000000002</v>
      </c>
      <c r="E72" s="3">
        <f>0.1*1.3</f>
        <v>0.13</v>
      </c>
      <c r="F72" s="3">
        <f>E72/$E$77*$F$77</f>
        <v>219.63876262118342</v>
      </c>
      <c r="G72" s="3">
        <f t="shared" si="1"/>
        <v>919.54983572951448</v>
      </c>
      <c r="H72" s="123"/>
      <c r="I72" s="124">
        <f t="shared" si="2"/>
        <v>-919.54983572951448</v>
      </c>
      <c r="J72" s="6"/>
      <c r="K72" s="3"/>
      <c r="L72" s="3"/>
    </row>
    <row r="73" spans="1:13" x14ac:dyDescent="0.35">
      <c r="A73" s="113" t="s">
        <v>549</v>
      </c>
      <c r="B73" s="133">
        <v>1</v>
      </c>
      <c r="C73" s="3">
        <f>3144/1000*100</f>
        <v>314.40000000000003</v>
      </c>
      <c r="D73" s="3">
        <f t="shared" si="0"/>
        <v>31.440000000000005</v>
      </c>
      <c r="E73" s="3">
        <f>0.1*1.15</f>
        <v>0.11499999999999999</v>
      </c>
      <c r="F73" s="3">
        <f>E73/$E$77*$F$77</f>
        <v>194.29582847258533</v>
      </c>
      <c r="G73" s="3">
        <f t="shared" si="1"/>
        <v>298.69511314533975</v>
      </c>
      <c r="H73" s="123"/>
      <c r="I73" s="124">
        <f t="shared" si="2"/>
        <v>-298.69511314533975</v>
      </c>
      <c r="J73" s="6"/>
      <c r="K73" s="3"/>
      <c r="L73" s="3">
        <v>18.5</v>
      </c>
    </row>
    <row r="74" spans="1:13" x14ac:dyDescent="0.35">
      <c r="A74" s="113" t="s">
        <v>543</v>
      </c>
      <c r="B74" s="133">
        <v>1</v>
      </c>
      <c r="C74" s="3">
        <f>2920/1000*300</f>
        <v>876</v>
      </c>
      <c r="D74" s="3">
        <f t="shared" si="0"/>
        <v>87.600000000000009</v>
      </c>
      <c r="E74" s="3">
        <f>0.3*1.15</f>
        <v>0.34499999999999997</v>
      </c>
      <c r="F74" s="3">
        <f>E74/$E$77*$F$77</f>
        <v>582.88748541775601</v>
      </c>
      <c r="G74" s="3">
        <f t="shared" si="1"/>
        <v>855.20757943601916</v>
      </c>
      <c r="H74" s="123"/>
      <c r="I74" s="124">
        <f t="shared" si="2"/>
        <v>-855.20757943601916</v>
      </c>
      <c r="J74" s="6"/>
      <c r="K74" s="3"/>
      <c r="L74" s="3"/>
      <c r="M74" t="s">
        <v>574</v>
      </c>
    </row>
    <row r="75" spans="1:13" x14ac:dyDescent="0.35">
      <c r="A75" s="88"/>
      <c r="B75" s="9"/>
      <c r="C75" s="9"/>
      <c r="D75" s="84"/>
      <c r="E75" s="9"/>
      <c r="F75" s="9"/>
      <c r="G75" s="9"/>
      <c r="H75" s="9"/>
      <c r="I75" s="9"/>
      <c r="J75" s="131"/>
      <c r="K75" s="9"/>
      <c r="L75" s="3"/>
    </row>
    <row r="76" spans="1:13" x14ac:dyDescent="0.35">
      <c r="A76" s="113" t="s">
        <v>30</v>
      </c>
      <c r="B76" s="26"/>
      <c r="C76" s="3"/>
      <c r="D76" s="3"/>
      <c r="E76" s="3">
        <f>0.2*1.15</f>
        <v>0.22999999999999998</v>
      </c>
      <c r="F76" s="3">
        <f t="shared" ref="F76" si="27">E76/$E$77*$F$77</f>
        <v>388.59165694517066</v>
      </c>
      <c r="G76" s="3"/>
      <c r="H76" s="123"/>
      <c r="I76" s="124">
        <f t="shared" si="2"/>
        <v>0</v>
      </c>
      <c r="J76" s="6"/>
      <c r="K76" s="3"/>
      <c r="L76" s="3"/>
    </row>
    <row r="77" spans="1:13" x14ac:dyDescent="0.3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3"/>
      <c r="I77" s="122"/>
      <c r="J77" s="28"/>
      <c r="K77" s="28"/>
      <c r="L77" s="3"/>
    </row>
    <row r="81" spans="1:12" x14ac:dyDescent="0.35">
      <c r="A81" s="9" t="s">
        <v>216</v>
      </c>
      <c r="B81" s="9"/>
      <c r="C81" s="9"/>
      <c r="D81" s="9"/>
      <c r="E81" s="9"/>
      <c r="F81" s="9"/>
      <c r="G81" s="9"/>
      <c r="H81" s="9"/>
      <c r="I81" s="121">
        <f>SUM(I82:I84)</f>
        <v>-4336.9367246470092</v>
      </c>
      <c r="J81" s="131">
        <v>3997</v>
      </c>
      <c r="K81" s="38">
        <f>J81+I81-L82-L84</f>
        <v>-339.93672464700921</v>
      </c>
      <c r="L81" s="3" t="s">
        <v>575</v>
      </c>
    </row>
    <row r="82" spans="1:12" x14ac:dyDescent="0.35">
      <c r="A82" s="113" t="s">
        <v>552</v>
      </c>
      <c r="B82" s="3">
        <v>1</v>
      </c>
      <c r="C82" s="3">
        <v>1035</v>
      </c>
      <c r="D82" s="3">
        <f t="shared" ref="D82:D84" si="28">B82*C82*0.1</f>
        <v>103.5</v>
      </c>
      <c r="E82" s="3">
        <f>0.12*1.3*B82</f>
        <v>0.156</v>
      </c>
      <c r="F82" s="3">
        <f>E82/$E$77*$F$77</f>
        <v>263.56651514542011</v>
      </c>
      <c r="G82" s="3">
        <f t="shared" ref="G82:G84" si="29">(C82)*$B$1+D82*$B$1+F82*$B$1</f>
        <v>775.34278287541736</v>
      </c>
      <c r="H82" s="123"/>
      <c r="I82" s="124">
        <f t="shared" ref="I82:I84" si="30">H82-G82</f>
        <v>-775.34278287541736</v>
      </c>
      <c r="J82" s="6"/>
      <c r="K82" s="6"/>
      <c r="L82" s="3"/>
    </row>
    <row r="83" spans="1:12" x14ac:dyDescent="0.35">
      <c r="A83" s="3" t="s">
        <v>553</v>
      </c>
      <c r="B83" s="77">
        <v>3</v>
      </c>
      <c r="C83" s="3">
        <v>3105</v>
      </c>
      <c r="D83" s="3">
        <f t="shared" si="28"/>
        <v>931.5</v>
      </c>
      <c r="E83" s="3">
        <f>0.12*1.3*B83</f>
        <v>0.46799999999999997</v>
      </c>
      <c r="F83" s="3">
        <f>E83/$E$77*$F$77</f>
        <v>790.69954543626034</v>
      </c>
      <c r="G83" s="3">
        <f t="shared" si="29"/>
        <v>2669.4413486262524</v>
      </c>
      <c r="H83" s="123"/>
      <c r="I83" s="124">
        <f t="shared" si="30"/>
        <v>-2669.4413486262524</v>
      </c>
      <c r="J83" s="6"/>
      <c r="K83" s="6"/>
      <c r="L83" s="3"/>
    </row>
    <row r="84" spans="1:12" x14ac:dyDescent="0.35">
      <c r="A84" s="98" t="s">
        <v>554</v>
      </c>
      <c r="B84" s="3">
        <v>1</v>
      </c>
      <c r="C84" s="3">
        <v>1290</v>
      </c>
      <c r="D84" s="3">
        <f t="shared" si="28"/>
        <v>129</v>
      </c>
      <c r="E84" s="3">
        <f>0.1*1.15</f>
        <v>0.11499999999999999</v>
      </c>
      <c r="F84" s="3">
        <f>E84/$E$77*$F$77</f>
        <v>194.29582847258533</v>
      </c>
      <c r="G84" s="3">
        <f t="shared" si="29"/>
        <v>892.15259314533967</v>
      </c>
      <c r="H84" s="123"/>
      <c r="I84" s="124">
        <f t="shared" si="30"/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3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35">
      <c r="A49" s="134" t="s">
        <v>64</v>
      </c>
      <c r="B49" s="135"/>
      <c r="C49" s="135"/>
      <c r="D49" s="135"/>
      <c r="E49" s="135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3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35">
      <c r="A52" s="134" t="s">
        <v>64</v>
      </c>
      <c r="B52" s="135"/>
      <c r="C52" s="135"/>
      <c r="D52" s="135"/>
      <c r="E52" s="135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3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3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35">
      <c r="A81" s="134" t="s">
        <v>64</v>
      </c>
      <c r="B81" s="135"/>
      <c r="C81" s="135"/>
      <c r="D81" s="135"/>
      <c r="E81" s="135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3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3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3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3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5" x14ac:dyDescent="0.3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x14ac:dyDescent="0.3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5" x14ac:dyDescent="0.3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5" x14ac:dyDescent="0.3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.5" x14ac:dyDescent="0.3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5" x14ac:dyDescent="0.3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5" x14ac:dyDescent="0.3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.5" x14ac:dyDescent="0.3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5" x14ac:dyDescent="0.3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5" x14ac:dyDescent="0.3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3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5" x14ac:dyDescent="0.3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3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39.5" x14ac:dyDescent="0.3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5" x14ac:dyDescent="0.3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3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3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3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5" x14ac:dyDescent="0.3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3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3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3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3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3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3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3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35">
      <c r="A43" s="134" t="s">
        <v>210</v>
      </c>
      <c r="B43" s="135"/>
      <c r="C43" s="135"/>
      <c r="D43" s="135"/>
      <c r="E43" s="135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3.5" x14ac:dyDescent="0.3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5" x14ac:dyDescent="0.3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7" x14ac:dyDescent="0.3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3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3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3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35">
      <c r="A37" s="134" t="s">
        <v>210</v>
      </c>
      <c r="B37" s="135"/>
      <c r="C37" s="135"/>
      <c r="D37" s="135"/>
      <c r="E37" s="135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3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3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3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3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3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3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3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3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3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3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3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3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288</v>
      </c>
    </row>
    <row r="32" spans="1:12" x14ac:dyDescent="0.3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3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3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35">
      <c r="A39" s="134" t="s">
        <v>210</v>
      </c>
      <c r="B39" s="135"/>
      <c r="C39" s="135"/>
      <c r="D39" s="135"/>
      <c r="E39" s="135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364</v>
      </c>
    </row>
    <row r="5" spans="1:12" x14ac:dyDescent="0.3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29" x14ac:dyDescent="0.3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3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29" x14ac:dyDescent="0.3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3.5" x14ac:dyDescent="0.3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3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3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289</v>
      </c>
    </row>
    <row r="27" spans="1:12" x14ac:dyDescent="0.3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3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3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35">
      <c r="A32" s="134" t="s">
        <v>210</v>
      </c>
      <c r="B32" s="135"/>
      <c r="C32" s="135"/>
      <c r="D32" s="135"/>
      <c r="E32" s="135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2018-03-13T08:12:02Z</dcterms:modified>
</cp:coreProperties>
</file>