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1520" yWindow="0" windowWidth="16305" windowHeight="12915" tabRatio="823" firstSheet="1" activeTab="22"/>
  </bookViews>
  <sheets>
    <sheet name="баланс" sheetId="7" r:id="rId1"/>
    <sheet name="1" sheetId="3" r:id="rId2"/>
    <sheet name="2" sheetId="1" r:id="rId3"/>
    <sheet name="3" sheetId="2" r:id="rId4"/>
    <sheet name="4" sheetId="4" r:id="rId5"/>
    <sheet name="5" sheetId="5" r:id="rId6"/>
    <sheet name="6" sheetId="6" r:id="rId7"/>
    <sheet name="7" sheetId="8" r:id="rId8"/>
    <sheet name="8N" sheetId="9" r:id="rId9"/>
    <sheet name="9" sheetId="10" r:id="rId10"/>
    <sheet name="10" sheetId="11" r:id="rId11"/>
    <sheet name="11" sheetId="12" r:id="rId12"/>
    <sheet name="12" sheetId="13" r:id="rId13"/>
    <sheet name="13" sheetId="14" r:id="rId14"/>
    <sheet name="14" sheetId="15" r:id="rId15"/>
    <sheet name="15" sheetId="16" r:id="rId16"/>
    <sheet name="16" sheetId="17" r:id="rId17"/>
    <sheet name="17" sheetId="18" r:id="rId18"/>
    <sheet name="18" sheetId="19" r:id="rId19"/>
    <sheet name="19" sheetId="20" r:id="rId20"/>
    <sheet name="20" sheetId="21" r:id="rId21"/>
    <sheet name="21" sheetId="22" r:id="rId22"/>
    <sheet name="22" sheetId="23" r:id="rId23"/>
  </sheets>
  <calcPr calcId="125725"/>
</workbook>
</file>

<file path=xl/calcChain.xml><?xml version="1.0" encoding="utf-8"?>
<calcChain xmlns="http://schemas.openxmlformats.org/spreadsheetml/2006/main">
  <c r="D12" i="23"/>
  <c r="D13"/>
  <c r="D15"/>
  <c r="D16"/>
  <c r="D17"/>
  <c r="D18"/>
  <c r="E20"/>
  <c r="E19"/>
  <c r="F19" s="1"/>
  <c r="E18"/>
  <c r="E17"/>
  <c r="E16"/>
  <c r="E15"/>
  <c r="E14"/>
  <c r="F13"/>
  <c r="E13"/>
  <c r="E12"/>
  <c r="E11"/>
  <c r="D11"/>
  <c r="E10"/>
  <c r="D10"/>
  <c r="E9"/>
  <c r="D9"/>
  <c r="E8"/>
  <c r="D8"/>
  <c r="E7"/>
  <c r="D7"/>
  <c r="E6"/>
  <c r="D6"/>
  <c r="E5"/>
  <c r="F5" s="1"/>
  <c r="D5"/>
  <c r="E4"/>
  <c r="D4"/>
  <c r="H5" i="21"/>
  <c r="H4" i="22"/>
  <c r="H18"/>
  <c r="H13"/>
  <c r="H9"/>
  <c r="H11"/>
  <c r="H12"/>
  <c r="H25"/>
  <c r="H10"/>
  <c r="H22"/>
  <c r="H16"/>
  <c r="H24"/>
  <c r="F7" i="23" l="1"/>
  <c r="G7" s="1"/>
  <c r="I7" s="1"/>
  <c r="B6" i="7" s="1"/>
  <c r="F18" i="23"/>
  <c r="G18" s="1"/>
  <c r="I18" s="1"/>
  <c r="B83" i="7" s="1"/>
  <c r="F10" i="23"/>
  <c r="G10" s="1"/>
  <c r="I10" s="1"/>
  <c r="B91" i="7" s="1"/>
  <c r="F4" i="23"/>
  <c r="G4" s="1"/>
  <c r="I4" s="1"/>
  <c r="B32" i="7" s="1"/>
  <c r="F14" i="23"/>
  <c r="G14" s="1"/>
  <c r="I14" s="1"/>
  <c r="B87" i="7" s="1"/>
  <c r="F6" i="23"/>
  <c r="G6" s="1"/>
  <c r="I6" s="1"/>
  <c r="B36" i="7" s="1"/>
  <c r="F11" i="23"/>
  <c r="G11" s="1"/>
  <c r="I11" s="1"/>
  <c r="B72" i="7" s="1"/>
  <c r="F15" i="23"/>
  <c r="G15" s="1"/>
  <c r="I15" s="1"/>
  <c r="B4" i="7" s="1"/>
  <c r="F20" i="23"/>
  <c r="G20" s="1"/>
  <c r="I20" s="1"/>
  <c r="B68" i="7" s="1"/>
  <c r="F9" i="23"/>
  <c r="F17"/>
  <c r="G17" s="1"/>
  <c r="I17" s="1"/>
  <c r="B92" i="7" s="1"/>
  <c r="F8" i="23"/>
  <c r="G8" s="1"/>
  <c r="I8" s="1"/>
  <c r="B50" i="7" s="1"/>
  <c r="F12" i="23"/>
  <c r="G12" s="1"/>
  <c r="I12" s="1"/>
  <c r="B71" i="7" s="1"/>
  <c r="F16" i="23"/>
  <c r="G16" s="1"/>
  <c r="I16" s="1"/>
  <c r="B95" i="7" s="1"/>
  <c r="G5" i="23"/>
  <c r="I5" s="1"/>
  <c r="B39" i="7" s="1"/>
  <c r="G13" i="23"/>
  <c r="I13" s="1"/>
  <c r="B14" i="7" s="1"/>
  <c r="G19" i="23"/>
  <c r="I19" s="1"/>
  <c r="B3" i="7" s="1"/>
  <c r="G9" i="23"/>
  <c r="I9" s="1"/>
  <c r="B24" i="7" s="1"/>
  <c r="H21" i="22"/>
  <c r="H7"/>
  <c r="H26"/>
  <c r="H8"/>
  <c r="H14"/>
  <c r="H20" l="1"/>
  <c r="H6"/>
  <c r="H15"/>
  <c r="H23"/>
  <c r="H17"/>
  <c r="H19" l="1"/>
  <c r="H5"/>
  <c r="E25"/>
  <c r="D25"/>
  <c r="E24"/>
  <c r="D24"/>
  <c r="E23"/>
  <c r="F23" s="1"/>
  <c r="E22"/>
  <c r="E21"/>
  <c r="D21"/>
  <c r="E20"/>
  <c r="D20"/>
  <c r="E19"/>
  <c r="D19"/>
  <c r="E18"/>
  <c r="D18"/>
  <c r="F18" s="1"/>
  <c r="E17"/>
  <c r="D17"/>
  <c r="E16"/>
  <c r="D16"/>
  <c r="F16" s="1"/>
  <c r="E15"/>
  <c r="D11"/>
  <c r="D12"/>
  <c r="E26"/>
  <c r="D26"/>
  <c r="E14"/>
  <c r="D14"/>
  <c r="E13"/>
  <c r="D13"/>
  <c r="E12"/>
  <c r="F12" s="1"/>
  <c r="E11"/>
  <c r="E10"/>
  <c r="D10"/>
  <c r="E9"/>
  <c r="D9"/>
  <c r="E8"/>
  <c r="F8" s="1"/>
  <c r="G8" s="1"/>
  <c r="I8" s="1"/>
  <c r="B51" i="7" s="1"/>
  <c r="D8" i="22"/>
  <c r="E7"/>
  <c r="D7"/>
  <c r="E6"/>
  <c r="D6"/>
  <c r="E5"/>
  <c r="D5"/>
  <c r="E4"/>
  <c r="D4"/>
  <c r="E5" i="21"/>
  <c r="C5"/>
  <c r="E4"/>
  <c r="D15"/>
  <c r="D16"/>
  <c r="D12"/>
  <c r="D4"/>
  <c r="F4" s="1"/>
  <c r="G4" s="1"/>
  <c r="D5"/>
  <c r="D6"/>
  <c r="D7"/>
  <c r="D8"/>
  <c r="D9"/>
  <c r="D10"/>
  <c r="D13"/>
  <c r="D14"/>
  <c r="E16"/>
  <c r="E15"/>
  <c r="E14"/>
  <c r="E13"/>
  <c r="E12"/>
  <c r="F12" s="1"/>
  <c r="E11"/>
  <c r="F11" s="1"/>
  <c r="E10"/>
  <c r="E9"/>
  <c r="F9" s="1"/>
  <c r="E8"/>
  <c r="E7"/>
  <c r="F7" s="1"/>
  <c r="E6"/>
  <c r="H10" i="20"/>
  <c r="H13"/>
  <c r="F25" i="22" l="1"/>
  <c r="G25" s="1"/>
  <c r="I25" s="1"/>
  <c r="B65" i="7" s="1"/>
  <c r="F19" i="22"/>
  <c r="G19" s="1"/>
  <c r="I19" s="1"/>
  <c r="B82" i="7" s="1"/>
  <c r="G23" i="22"/>
  <c r="I23" s="1"/>
  <c r="B46" i="7" s="1"/>
  <c r="G12" i="22"/>
  <c r="I12" s="1"/>
  <c r="B21" i="7" s="1"/>
  <c r="G16" i="22"/>
  <c r="I16" s="1"/>
  <c r="B105" i="7" s="1"/>
  <c r="G18" i="22"/>
  <c r="I18" s="1"/>
  <c r="B58" i="7" s="1"/>
  <c r="F24" i="22"/>
  <c r="G24" s="1"/>
  <c r="I24" s="1"/>
  <c r="B43" i="7" s="1"/>
  <c r="F22" i="22"/>
  <c r="G22" s="1"/>
  <c r="I22" s="1"/>
  <c r="F21"/>
  <c r="G21" s="1"/>
  <c r="I21" s="1"/>
  <c r="F20"/>
  <c r="G20" s="1"/>
  <c r="I20" s="1"/>
  <c r="B73" i="7" s="1"/>
  <c r="F17" i="22"/>
  <c r="G17" s="1"/>
  <c r="I17" s="1"/>
  <c r="B55" i="7" s="1"/>
  <c r="F15" i="22"/>
  <c r="G15" s="1"/>
  <c r="I15" s="1"/>
  <c r="B96" i="7" s="1"/>
  <c r="F14" i="22"/>
  <c r="G14" s="1"/>
  <c r="I14" s="1"/>
  <c r="F9"/>
  <c r="G9" s="1"/>
  <c r="I9" s="1"/>
  <c r="F13"/>
  <c r="G13" s="1"/>
  <c r="I13" s="1"/>
  <c r="B77" i="7" s="1"/>
  <c r="F5" i="22"/>
  <c r="G5" s="1"/>
  <c r="I5" s="1"/>
  <c r="B53" i="7" s="1"/>
  <c r="F4" i="22"/>
  <c r="G4" s="1"/>
  <c r="I4" s="1"/>
  <c r="F7"/>
  <c r="G7" s="1"/>
  <c r="I7" s="1"/>
  <c r="B93" i="7" s="1"/>
  <c r="F10" i="22"/>
  <c r="G10" s="1"/>
  <c r="I10" s="1"/>
  <c r="F11"/>
  <c r="G11" s="1"/>
  <c r="I11" s="1"/>
  <c r="B90" i="7" s="1"/>
  <c r="F6" i="22"/>
  <c r="G6" s="1"/>
  <c r="I6" s="1"/>
  <c r="B40" i="7" s="1"/>
  <c r="F26" i="22"/>
  <c r="G26" s="1"/>
  <c r="I26" s="1"/>
  <c r="B106" i="7" s="1"/>
  <c r="F16" i="21"/>
  <c r="G16" s="1"/>
  <c r="I16" s="1"/>
  <c r="B45" i="7" s="1"/>
  <c r="F15" i="21"/>
  <c r="F5"/>
  <c r="G5" s="1"/>
  <c r="I5" s="1"/>
  <c r="F8"/>
  <c r="F6"/>
  <c r="G6" s="1"/>
  <c r="I6" s="1"/>
  <c r="F10"/>
  <c r="G10" s="1"/>
  <c r="I10" s="1"/>
  <c r="F13"/>
  <c r="G13" s="1"/>
  <c r="I13" s="1"/>
  <c r="B22" i="7" s="1"/>
  <c r="F14" i="21"/>
  <c r="G14" s="1"/>
  <c r="I14" s="1"/>
  <c r="G9"/>
  <c r="I9" s="1"/>
  <c r="G12"/>
  <c r="I12" s="1"/>
  <c r="I4"/>
  <c r="G8"/>
  <c r="I8" s="1"/>
  <c r="B28" i="7" s="1"/>
  <c r="G15" i="21"/>
  <c r="I15" s="1"/>
  <c r="G7"/>
  <c r="I7" s="1"/>
  <c r="G11"/>
  <c r="I11" s="1"/>
  <c r="H7" i="20"/>
  <c r="H15"/>
  <c r="H21"/>
  <c r="H9"/>
  <c r="E16"/>
  <c r="E19" l="1"/>
  <c r="F19" s="1"/>
  <c r="G19" s="1"/>
  <c r="I19" s="1"/>
  <c r="E18"/>
  <c r="F18" s="1"/>
  <c r="E17"/>
  <c r="F17" s="1"/>
  <c r="G17" s="1"/>
  <c r="I17" s="1"/>
  <c r="E23"/>
  <c r="F23" s="1"/>
  <c r="E22"/>
  <c r="F22" s="1"/>
  <c r="G22" s="1"/>
  <c r="I22" s="1"/>
  <c r="E21"/>
  <c r="F21" s="1"/>
  <c r="E20"/>
  <c r="F20" s="1"/>
  <c r="G20" s="1"/>
  <c r="I20" s="1"/>
  <c r="F16"/>
  <c r="E15"/>
  <c r="F15" s="1"/>
  <c r="G15" s="1"/>
  <c r="I15" s="1"/>
  <c r="B63" i="7" s="1"/>
  <c r="E14" i="20"/>
  <c r="F14" s="1"/>
  <c r="E13"/>
  <c r="F13" s="1"/>
  <c r="E12"/>
  <c r="F12" s="1"/>
  <c r="G12" s="1"/>
  <c r="I12" s="1"/>
  <c r="B30" i="7" s="1"/>
  <c r="E11" i="20"/>
  <c r="F11" s="1"/>
  <c r="G11" s="1"/>
  <c r="I11" s="1"/>
  <c r="E10"/>
  <c r="F10" s="1"/>
  <c r="E9"/>
  <c r="F9" s="1"/>
  <c r="G9" s="1"/>
  <c r="I9" s="1"/>
  <c r="E8"/>
  <c r="F8" s="1"/>
  <c r="E7"/>
  <c r="F7" s="1"/>
  <c r="G7" s="1"/>
  <c r="I7" s="1"/>
  <c r="E6"/>
  <c r="F6" s="1"/>
  <c r="G6" s="1"/>
  <c r="I6" s="1"/>
  <c r="E5"/>
  <c r="F5" s="1"/>
  <c r="G5" s="1"/>
  <c r="I5" s="1"/>
  <c r="E4"/>
  <c r="F4" s="1"/>
  <c r="H14" i="19"/>
  <c r="H11"/>
  <c r="H12"/>
  <c r="E20"/>
  <c r="F20" s="1"/>
  <c r="G20" s="1"/>
  <c r="I20" s="1"/>
  <c r="A59" i="7"/>
  <c r="A45"/>
  <c r="A50"/>
  <c r="A70"/>
  <c r="A107"/>
  <c r="E19" i="19"/>
  <c r="F19" s="1"/>
  <c r="G19" s="1"/>
  <c r="I19" s="1"/>
  <c r="B107" i="7" s="1"/>
  <c r="E15" i="19"/>
  <c r="F15" s="1"/>
  <c r="E14"/>
  <c r="F14" s="1"/>
  <c r="G14" s="1"/>
  <c r="E13"/>
  <c r="F13" s="1"/>
  <c r="G13" s="1"/>
  <c r="I13" s="1"/>
  <c r="E12"/>
  <c r="F12" s="1"/>
  <c r="E18"/>
  <c r="F18" s="1"/>
  <c r="E17"/>
  <c r="F17" s="1"/>
  <c r="G17" s="1"/>
  <c r="I17" s="1"/>
  <c r="E16"/>
  <c r="F16" s="1"/>
  <c r="G16" s="1"/>
  <c r="I16" s="1"/>
  <c r="B70" i="7" s="1"/>
  <c r="E11" i="19"/>
  <c r="F11" s="1"/>
  <c r="G11" s="1"/>
  <c r="E10"/>
  <c r="F10" s="1"/>
  <c r="E9"/>
  <c r="F9" s="1"/>
  <c r="G9" s="1"/>
  <c r="I9" s="1"/>
  <c r="E8"/>
  <c r="F8" s="1"/>
  <c r="E7"/>
  <c r="F7" s="1"/>
  <c r="E6"/>
  <c r="F6" s="1"/>
  <c r="E5"/>
  <c r="F5" s="1"/>
  <c r="G5" s="1"/>
  <c r="I5" s="1"/>
  <c r="E4"/>
  <c r="F4" s="1"/>
  <c r="I11" l="1"/>
  <c r="G18" i="20"/>
  <c r="I18" s="1"/>
  <c r="B88" i="7" s="1"/>
  <c r="G10" i="20"/>
  <c r="I10" s="1"/>
  <c r="G4"/>
  <c r="I4" s="1"/>
  <c r="G14"/>
  <c r="I14" s="1"/>
  <c r="G16"/>
  <c r="I16" s="1"/>
  <c r="G21"/>
  <c r="I21" s="1"/>
  <c r="G23"/>
  <c r="I23" s="1"/>
  <c r="B76" i="7" s="1"/>
  <c r="G8" i="20"/>
  <c r="I8" s="1"/>
  <c r="G13"/>
  <c r="I13" s="1"/>
  <c r="I14" i="19"/>
  <c r="G10"/>
  <c r="I10" s="1"/>
  <c r="B59" i="7" s="1"/>
  <c r="G8" i="19"/>
  <c r="I8" s="1"/>
  <c r="G18"/>
  <c r="I18" s="1"/>
  <c r="G12"/>
  <c r="I12" s="1"/>
  <c r="G7"/>
  <c r="I7" s="1"/>
  <c r="G15"/>
  <c r="I15" s="1"/>
  <c r="G4"/>
  <c r="I4" s="1"/>
  <c r="G6"/>
  <c r="I6" s="1"/>
  <c r="H14" i="16" l="1"/>
  <c r="H14" i="17"/>
  <c r="H9" i="18"/>
  <c r="H4" i="17" l="1"/>
  <c r="E5" i="18" l="1"/>
  <c r="F5" s="1"/>
  <c r="G5" s="1"/>
  <c r="I5" s="1"/>
  <c r="E6"/>
  <c r="F6" s="1"/>
  <c r="G6" s="1"/>
  <c r="I6" s="1"/>
  <c r="B11" i="7" s="1"/>
  <c r="E7" i="18"/>
  <c r="E8"/>
  <c r="F8" s="1"/>
  <c r="G8" s="1"/>
  <c r="I8" s="1"/>
  <c r="E9"/>
  <c r="F9" s="1"/>
  <c r="G9" s="1"/>
  <c r="I9" s="1"/>
  <c r="E10"/>
  <c r="F10" s="1"/>
  <c r="G10" s="1"/>
  <c r="I10" s="1"/>
  <c r="E11"/>
  <c r="F11" s="1"/>
  <c r="G11" s="1"/>
  <c r="I11" s="1"/>
  <c r="E12"/>
  <c r="F12" s="1"/>
  <c r="G12" s="1"/>
  <c r="I12" s="1"/>
  <c r="B9" i="7" s="1"/>
  <c r="E13" i="18"/>
  <c r="F13" s="1"/>
  <c r="G13" s="1"/>
  <c r="I13" s="1"/>
  <c r="E14"/>
  <c r="F14" s="1"/>
  <c r="G14" s="1"/>
  <c r="I14" s="1"/>
  <c r="B25" i="7" s="1"/>
  <c r="E15" i="18"/>
  <c r="F15" s="1"/>
  <c r="G15" s="1"/>
  <c r="I15" s="1"/>
  <c r="B79" i="7" s="1"/>
  <c r="E4" i="18"/>
  <c r="F4" s="1"/>
  <c r="G4" s="1"/>
  <c r="I4" s="1"/>
  <c r="F7"/>
  <c r="G7" s="1"/>
  <c r="I7" s="1"/>
  <c r="H12" i="17" l="1"/>
  <c r="H7" l="1"/>
  <c r="H18"/>
  <c r="H17" i="14"/>
  <c r="H13" i="16"/>
  <c r="E14" i="17" l="1"/>
  <c r="F14" s="1"/>
  <c r="E13"/>
  <c r="F13" s="1"/>
  <c r="E12"/>
  <c r="F12" s="1"/>
  <c r="E16"/>
  <c r="F16" s="1"/>
  <c r="E15"/>
  <c r="F15" s="1"/>
  <c r="E20"/>
  <c r="F20" s="1"/>
  <c r="E19"/>
  <c r="F19" s="1"/>
  <c r="E18"/>
  <c r="F18" s="1"/>
  <c r="E17"/>
  <c r="F17" s="1"/>
  <c r="E11"/>
  <c r="F11" s="1"/>
  <c r="E10"/>
  <c r="F10" s="1"/>
  <c r="E9"/>
  <c r="F9" s="1"/>
  <c r="E8"/>
  <c r="F8" s="1"/>
  <c r="E7"/>
  <c r="F7" s="1"/>
  <c r="E6"/>
  <c r="F6" s="1"/>
  <c r="E5"/>
  <c r="F5" s="1"/>
  <c r="E4"/>
  <c r="F4" s="1"/>
  <c r="G4" s="1"/>
  <c r="I4" s="1"/>
  <c r="G5" l="1"/>
  <c r="I5" s="1"/>
  <c r="G7"/>
  <c r="I7" s="1"/>
  <c r="B47" i="7" s="1"/>
  <c r="G9" i="17"/>
  <c r="I9" s="1"/>
  <c r="G11"/>
  <c r="I11" s="1"/>
  <c r="B2" i="7" s="1"/>
  <c r="G18" i="17"/>
  <c r="I18" s="1"/>
  <c r="G20"/>
  <c r="I20" s="1"/>
  <c r="G16"/>
  <c r="I16" s="1"/>
  <c r="B86" i="7" s="1"/>
  <c r="G13" i="17"/>
  <c r="I13" s="1"/>
  <c r="B74" i="7" s="1"/>
  <c r="G6" i="17"/>
  <c r="I6" s="1"/>
  <c r="G8"/>
  <c r="I8" s="1"/>
  <c r="G10"/>
  <c r="G17"/>
  <c r="I17" s="1"/>
  <c r="B17" i="7" s="1"/>
  <c r="G19" i="17"/>
  <c r="I19" s="1"/>
  <c r="B10" i="7" s="1"/>
  <c r="G15" i="17"/>
  <c r="I15" s="1"/>
  <c r="G12"/>
  <c r="I12" s="1"/>
  <c r="B31" i="7" s="1"/>
  <c r="G14" i="17"/>
  <c r="I14" s="1"/>
  <c r="B78" i="7" s="1"/>
  <c r="I10" i="17" l="1"/>
  <c r="B64" i="7" s="1"/>
  <c r="E13" i="16"/>
  <c r="F13" s="1"/>
  <c r="G13" s="1"/>
  <c r="I13" s="1"/>
  <c r="E14"/>
  <c r="F14" s="1"/>
  <c r="G14" s="1"/>
  <c r="I14" s="1"/>
  <c r="E15" l="1"/>
  <c r="F15" s="1"/>
  <c r="G15" s="1"/>
  <c r="I15" s="1"/>
  <c r="E12"/>
  <c r="F12" s="1"/>
  <c r="G12" s="1"/>
  <c r="I12" s="1"/>
  <c r="E11"/>
  <c r="F11" s="1"/>
  <c r="G11" s="1"/>
  <c r="I11" s="1"/>
  <c r="E10"/>
  <c r="F10" s="1"/>
  <c r="G10" s="1"/>
  <c r="I10" s="1"/>
  <c r="E9"/>
  <c r="F9" s="1"/>
  <c r="G9" s="1"/>
  <c r="I9" s="1"/>
  <c r="E8"/>
  <c r="E7"/>
  <c r="E6"/>
  <c r="E5"/>
  <c r="F5" s="1"/>
  <c r="G5" s="1"/>
  <c r="I5" s="1"/>
  <c r="E4"/>
  <c r="F4" s="1"/>
  <c r="G4" s="1"/>
  <c r="I4" s="1"/>
  <c r="B35" i="7" s="1"/>
  <c r="F6" i="16" l="1"/>
  <c r="G6" s="1"/>
  <c r="I6" s="1"/>
  <c r="F7"/>
  <c r="G7" s="1"/>
  <c r="I7" s="1"/>
  <c r="F8"/>
  <c r="G8" s="1"/>
  <c r="I8" s="1"/>
  <c r="B97" i="7" s="1"/>
  <c r="H15" i="13"/>
  <c r="E6" i="15" l="1"/>
  <c r="H14" i="13"/>
  <c r="H13" i="10"/>
  <c r="H10"/>
  <c r="H9"/>
  <c r="H11" i="14"/>
  <c r="D17" l="1"/>
  <c r="H12"/>
  <c r="D8" i="15" l="1"/>
  <c r="D7"/>
  <c r="D6"/>
  <c r="D4"/>
  <c r="E14"/>
  <c r="F14" s="1"/>
  <c r="E13"/>
  <c r="F13" s="1"/>
  <c r="E12"/>
  <c r="F12" s="1"/>
  <c r="E11"/>
  <c r="F11" s="1"/>
  <c r="G11" s="1"/>
  <c r="I11" s="1"/>
  <c r="E10"/>
  <c r="F10" s="1"/>
  <c r="E9"/>
  <c r="F9" s="1"/>
  <c r="G9" s="1"/>
  <c r="I9" s="1"/>
  <c r="E8"/>
  <c r="E7"/>
  <c r="E5"/>
  <c r="F5" s="1"/>
  <c r="G5" s="1"/>
  <c r="I5" s="1"/>
  <c r="E4"/>
  <c r="H9" i="14"/>
  <c r="E17"/>
  <c r="F17" s="1"/>
  <c r="G17" s="1"/>
  <c r="I17" s="1"/>
  <c r="E16"/>
  <c r="F16" s="1"/>
  <c r="G16" s="1"/>
  <c r="I16" s="1"/>
  <c r="E18"/>
  <c r="F18" s="1"/>
  <c r="G18" s="1"/>
  <c r="I18" s="1"/>
  <c r="F4" i="15" l="1"/>
  <c r="G4" s="1"/>
  <c r="I4" s="1"/>
  <c r="B56" i="7" s="1"/>
  <c r="F8" i="15"/>
  <c r="G8" s="1"/>
  <c r="I8" s="1"/>
  <c r="F6"/>
  <c r="G6" s="1"/>
  <c r="I6" s="1"/>
  <c r="B108" i="7" s="1"/>
  <c r="F7" i="15"/>
  <c r="G7" s="1"/>
  <c r="I7" s="1"/>
  <c r="G14"/>
  <c r="I14" s="1"/>
  <c r="G10"/>
  <c r="I10" s="1"/>
  <c r="G13"/>
  <c r="I13" s="1"/>
  <c r="G12"/>
  <c r="I12" s="1"/>
  <c r="B60" i="7" s="1"/>
  <c r="E15" i="14"/>
  <c r="F15" s="1"/>
  <c r="G15" s="1"/>
  <c r="I15" s="1"/>
  <c r="E14"/>
  <c r="F14" s="1"/>
  <c r="G14" s="1"/>
  <c r="I14" s="1"/>
  <c r="B42" i="7" s="1"/>
  <c r="E13" i="14"/>
  <c r="F13" s="1"/>
  <c r="G13" s="1"/>
  <c r="I13" s="1"/>
  <c r="B66" i="7" s="1"/>
  <c r="E12" i="14"/>
  <c r="F12" s="1"/>
  <c r="G12" s="1"/>
  <c r="I12" s="1"/>
  <c r="E11"/>
  <c r="F11" s="1"/>
  <c r="G11" s="1"/>
  <c r="I11" s="1"/>
  <c r="E10"/>
  <c r="F10" s="1"/>
  <c r="G10" s="1"/>
  <c r="I10" s="1"/>
  <c r="E9"/>
  <c r="F9" s="1"/>
  <c r="G9" s="1"/>
  <c r="I9" s="1"/>
  <c r="E8"/>
  <c r="F8" s="1"/>
  <c r="G8" s="1"/>
  <c r="I8" s="1"/>
  <c r="E7"/>
  <c r="F7" s="1"/>
  <c r="G7" s="1"/>
  <c r="I7" s="1"/>
  <c r="E6"/>
  <c r="F6" s="1"/>
  <c r="G6" s="1"/>
  <c r="I6" s="1"/>
  <c r="E5"/>
  <c r="F5" s="1"/>
  <c r="G5" s="1"/>
  <c r="I5" s="1"/>
  <c r="E4"/>
  <c r="F4" s="1"/>
  <c r="G4" s="1"/>
  <c r="I4" s="1"/>
  <c r="H8" i="12" l="1"/>
  <c r="H9" i="13"/>
  <c r="H8"/>
  <c r="H7"/>
  <c r="H4" i="12"/>
  <c r="H13" i="13"/>
  <c r="H11"/>
  <c r="H12" i="12"/>
  <c r="H7"/>
  <c r="H6" l="1"/>
  <c r="H13"/>
  <c r="H14"/>
  <c r="H18" i="11" l="1"/>
  <c r="H9" i="12"/>
  <c r="H15" l="1"/>
  <c r="H12" i="13" l="1"/>
  <c r="E16" l="1"/>
  <c r="F16" s="1"/>
  <c r="E17"/>
  <c r="F17" s="1"/>
  <c r="G17" s="1"/>
  <c r="E15"/>
  <c r="F15" s="1"/>
  <c r="G15" s="1"/>
  <c r="E14"/>
  <c r="F14" s="1"/>
  <c r="E13"/>
  <c r="F13" s="1"/>
  <c r="G13" s="1"/>
  <c r="E12"/>
  <c r="F12" s="1"/>
  <c r="E11"/>
  <c r="F11" s="1"/>
  <c r="G11" s="1"/>
  <c r="E10"/>
  <c r="F10" s="1"/>
  <c r="E9"/>
  <c r="F9" s="1"/>
  <c r="G9" s="1"/>
  <c r="E8"/>
  <c r="F8" s="1"/>
  <c r="E7"/>
  <c r="F7" s="1"/>
  <c r="G7" s="1"/>
  <c r="E6"/>
  <c r="F6" s="1"/>
  <c r="E5"/>
  <c r="F5" s="1"/>
  <c r="G5" s="1"/>
  <c r="E4"/>
  <c r="F4" s="1"/>
  <c r="G4" s="1"/>
  <c r="G16" l="1"/>
  <c r="I16" s="1"/>
  <c r="B18" i="7" s="1"/>
  <c r="G14" i="13"/>
  <c r="I14" s="1"/>
  <c r="G12"/>
  <c r="I12" s="1"/>
  <c r="G10"/>
  <c r="I10" s="1"/>
  <c r="G8"/>
  <c r="I8" s="1"/>
  <c r="G6"/>
  <c r="I6" s="1"/>
  <c r="I5"/>
  <c r="I7"/>
  <c r="B104" i="7" s="1"/>
  <c r="I9" i="13"/>
  <c r="B37" i="7" s="1"/>
  <c r="I11" i="13"/>
  <c r="I13"/>
  <c r="I15"/>
  <c r="B12" i="7" s="1"/>
  <c r="I17" i="13"/>
  <c r="B84" i="7" s="1"/>
  <c r="I4" i="13"/>
  <c r="E5" i="12" l="1"/>
  <c r="F5" s="1"/>
  <c r="E16"/>
  <c r="F16" s="1"/>
  <c r="G16" s="1"/>
  <c r="I16" s="1"/>
  <c r="E15"/>
  <c r="F15" s="1"/>
  <c r="G15" s="1"/>
  <c r="I15" s="1"/>
  <c r="E14"/>
  <c r="F14" s="1"/>
  <c r="G14" s="1"/>
  <c r="I14" s="1"/>
  <c r="B20" i="7" s="1"/>
  <c r="E13" i="12"/>
  <c r="F13" s="1"/>
  <c r="E12"/>
  <c r="F12" s="1"/>
  <c r="G12" s="1"/>
  <c r="I12" s="1"/>
  <c r="B33" i="7" s="1"/>
  <c r="E11" i="12"/>
  <c r="F11" s="1"/>
  <c r="E10"/>
  <c r="F10" s="1"/>
  <c r="G10" s="1"/>
  <c r="I10" s="1"/>
  <c r="E9"/>
  <c r="F9" s="1"/>
  <c r="E8"/>
  <c r="F8" s="1"/>
  <c r="G8" s="1"/>
  <c r="I8" s="1"/>
  <c r="E7"/>
  <c r="F7" s="1"/>
  <c r="E6"/>
  <c r="F6" s="1"/>
  <c r="G6" s="1"/>
  <c r="I6" s="1"/>
  <c r="E4"/>
  <c r="F4" s="1"/>
  <c r="G5" l="1"/>
  <c r="I5" s="1"/>
  <c r="G4"/>
  <c r="I4" s="1"/>
  <c r="G7"/>
  <c r="I7" s="1"/>
  <c r="G9"/>
  <c r="I9" s="1"/>
  <c r="G11"/>
  <c r="I11" s="1"/>
  <c r="G13"/>
  <c r="I13" s="1"/>
  <c r="H26" i="11" l="1"/>
  <c r="E28" l="1"/>
  <c r="F28" s="1"/>
  <c r="G28" s="1"/>
  <c r="I28" l="1"/>
  <c r="B15" i="7" s="1"/>
  <c r="E26" i="11"/>
  <c r="F26" s="1"/>
  <c r="G26" s="1"/>
  <c r="I26" s="1"/>
  <c r="E27"/>
  <c r="F27" s="1"/>
  <c r="G27" s="1"/>
  <c r="I27" s="1"/>
  <c r="E25"/>
  <c r="F25" s="1"/>
  <c r="G25" s="1"/>
  <c r="I25" s="1"/>
  <c r="H12" i="10" l="1"/>
  <c r="H13" i="11" l="1"/>
  <c r="H15" l="1"/>
  <c r="E4" l="1"/>
  <c r="F4" s="1"/>
  <c r="G4" s="1"/>
  <c r="E8"/>
  <c r="F8" s="1"/>
  <c r="E9"/>
  <c r="F9" s="1"/>
  <c r="E10"/>
  <c r="F10" s="1"/>
  <c r="E11"/>
  <c r="F11" s="1"/>
  <c r="E12"/>
  <c r="F12" s="1"/>
  <c r="E13"/>
  <c r="F13" s="1"/>
  <c r="D1" i="10"/>
  <c r="E19" i="11"/>
  <c r="F19" s="1"/>
  <c r="E18"/>
  <c r="F18" s="1"/>
  <c r="E17"/>
  <c r="F17" s="1"/>
  <c r="E16"/>
  <c r="F16" s="1"/>
  <c r="E15"/>
  <c r="F15" s="1"/>
  <c r="E14"/>
  <c r="F14" s="1"/>
  <c r="E7"/>
  <c r="F7" s="1"/>
  <c r="E6"/>
  <c r="F6" s="1"/>
  <c r="E5"/>
  <c r="F5" s="1"/>
  <c r="G13" l="1"/>
  <c r="I13" s="1"/>
  <c r="B52" i="7" s="1"/>
  <c r="G11" i="11"/>
  <c r="I11" s="1"/>
  <c r="G9"/>
  <c r="I9" s="1"/>
  <c r="G12"/>
  <c r="I12" s="1"/>
  <c r="B7" i="7" s="1"/>
  <c r="G10" i="11"/>
  <c r="I10" s="1"/>
  <c r="G8"/>
  <c r="I8" s="1"/>
  <c r="B61" i="7" s="1"/>
  <c r="G5" i="11"/>
  <c r="I5" s="1"/>
  <c r="B102" i="7" s="1"/>
  <c r="G7" i="11"/>
  <c r="G15"/>
  <c r="I15" s="1"/>
  <c r="G17"/>
  <c r="I17" s="1"/>
  <c r="G19"/>
  <c r="I19" s="1"/>
  <c r="B67" i="7" s="1"/>
  <c r="I4" i="11"/>
  <c r="G6"/>
  <c r="I6" s="1"/>
  <c r="B57" i="7" s="1"/>
  <c r="G14" i="11"/>
  <c r="I14" s="1"/>
  <c r="G16"/>
  <c r="I16" s="1"/>
  <c r="G18"/>
  <c r="I18" s="1"/>
  <c r="B69" i="7" s="1"/>
  <c r="E4" i="9"/>
  <c r="D5"/>
  <c r="D6"/>
  <c r="D7"/>
  <c r="D8"/>
  <c r="D9"/>
  <c r="D10"/>
  <c r="D11"/>
  <c r="D12"/>
  <c r="D4"/>
  <c r="F4" l="1"/>
  <c r="I7" i="11"/>
  <c r="B89" i="7" s="1"/>
  <c r="H14" i="10"/>
  <c r="E14" l="1"/>
  <c r="F14" s="1"/>
  <c r="G14" l="1"/>
  <c r="I14" s="1"/>
  <c r="E13"/>
  <c r="F13" s="1"/>
  <c r="G13" s="1"/>
  <c r="I13" s="1"/>
  <c r="E12"/>
  <c r="F12" s="1"/>
  <c r="G12" s="1"/>
  <c r="I12" s="1"/>
  <c r="E11"/>
  <c r="F11" s="1"/>
  <c r="G11" s="1"/>
  <c r="I11" s="1"/>
  <c r="E10"/>
  <c r="F10" s="1"/>
  <c r="G10" s="1"/>
  <c r="I10" s="1"/>
  <c r="B99" i="7" s="1"/>
  <c r="E9" i="10"/>
  <c r="F9" s="1"/>
  <c r="G9" s="1"/>
  <c r="I9" s="1"/>
  <c r="B54" i="7" s="1"/>
  <c r="E8" i="10"/>
  <c r="F8" s="1"/>
  <c r="G8" s="1"/>
  <c r="I8" s="1"/>
  <c r="E7"/>
  <c r="F7" s="1"/>
  <c r="G7" s="1"/>
  <c r="I7" s="1"/>
  <c r="E6"/>
  <c r="F6" s="1"/>
  <c r="G6" s="1"/>
  <c r="I6" s="1"/>
  <c r="E5"/>
  <c r="F5" s="1"/>
  <c r="G5" s="1"/>
  <c r="I5" s="1"/>
  <c r="E4"/>
  <c r="F4" l="1"/>
  <c r="G4" l="1"/>
  <c r="I4" s="1"/>
  <c r="D5" i="6"/>
  <c r="H7" i="9"/>
  <c r="J12" i="4"/>
  <c r="I23"/>
  <c r="E5" i="9" l="1"/>
  <c r="H11" l="1"/>
  <c r="H5" l="1"/>
  <c r="H5" i="8"/>
  <c r="G4" i="9"/>
  <c r="E11"/>
  <c r="F11" s="1"/>
  <c r="E10"/>
  <c r="F10" s="1"/>
  <c r="E9"/>
  <c r="E8"/>
  <c r="F8" s="1"/>
  <c r="E7"/>
  <c r="F7" s="1"/>
  <c r="E6"/>
  <c r="H14" i="8"/>
  <c r="F6" i="9" l="1"/>
  <c r="G6" s="1"/>
  <c r="I6" s="1"/>
  <c r="F5"/>
  <c r="G5" s="1"/>
  <c r="I5" s="1"/>
  <c r="F9"/>
  <c r="G9" s="1"/>
  <c r="I9" s="1"/>
  <c r="I4"/>
  <c r="B109" i="7" s="1"/>
  <c r="G7" i="9"/>
  <c r="I7" s="1"/>
  <c r="G10"/>
  <c r="I10" s="1"/>
  <c r="G11"/>
  <c r="I11" s="1"/>
  <c r="B62" i="7" s="1"/>
  <c r="G8" i="9"/>
  <c r="I8" s="1"/>
  <c r="E10" i="8"/>
  <c r="F10" l="1"/>
  <c r="E6"/>
  <c r="F6" s="1"/>
  <c r="E7"/>
  <c r="F7" s="1"/>
  <c r="G7" s="1"/>
  <c r="I7" s="1"/>
  <c r="B38" i="7" s="1"/>
  <c r="E8" i="8"/>
  <c r="F8" s="1"/>
  <c r="E9"/>
  <c r="F9" s="1"/>
  <c r="G9" s="1"/>
  <c r="I9" s="1"/>
  <c r="E11"/>
  <c r="F11" s="1"/>
  <c r="E14"/>
  <c r="F14" s="1"/>
  <c r="G14" s="1"/>
  <c r="E13"/>
  <c r="F13" s="1"/>
  <c r="E12"/>
  <c r="F12" s="1"/>
  <c r="G12" s="1"/>
  <c r="E5"/>
  <c r="F5" s="1"/>
  <c r="E4"/>
  <c r="F4" s="1"/>
  <c r="G13" l="1"/>
  <c r="G11"/>
  <c r="I11" s="1"/>
  <c r="G10"/>
  <c r="I10" s="1"/>
  <c r="G8"/>
  <c r="I8" s="1"/>
  <c r="B44" i="7" s="1"/>
  <c r="G6" i="8"/>
  <c r="I6" s="1"/>
  <c r="G4"/>
  <c r="I4" s="1"/>
  <c r="G5"/>
  <c r="I5" s="1"/>
  <c r="I12"/>
  <c r="B5" i="7" s="1"/>
  <c r="I13" i="8"/>
  <c r="B49" i="7" s="1"/>
  <c r="I14" i="8"/>
  <c r="H10" i="1" l="1"/>
  <c r="H14" i="4"/>
  <c r="E4" i="6" l="1"/>
  <c r="E10" l="1"/>
  <c r="F10" s="1"/>
  <c r="G10" s="1"/>
  <c r="I10" s="1"/>
  <c r="E9"/>
  <c r="F9" s="1"/>
  <c r="G9" s="1"/>
  <c r="I9" s="1"/>
  <c r="E8"/>
  <c r="F8" s="1"/>
  <c r="G8" s="1"/>
  <c r="I8" s="1"/>
  <c r="E7"/>
  <c r="F7" s="1"/>
  <c r="G7" s="1"/>
  <c r="I7" s="1"/>
  <c r="E6"/>
  <c r="F6" s="1"/>
  <c r="G6" s="1"/>
  <c r="I6" s="1"/>
  <c r="B75" i="7" s="1"/>
  <c r="E5" i="6"/>
  <c r="F5" s="1"/>
  <c r="G5" s="1"/>
  <c r="F4"/>
  <c r="G4" s="1"/>
  <c r="I4" s="1"/>
  <c r="H6" i="2"/>
  <c r="J5" i="5"/>
  <c r="H5"/>
  <c r="E5"/>
  <c r="D5"/>
  <c r="D4"/>
  <c r="C4"/>
  <c r="C20" i="4"/>
  <c r="E6"/>
  <c r="F6" s="1"/>
  <c r="G6" s="1"/>
  <c r="I6" s="1"/>
  <c r="B41" i="7" s="1"/>
  <c r="E7" i="4"/>
  <c r="F7" s="1"/>
  <c r="G7" s="1"/>
  <c r="I7" s="1"/>
  <c r="B23" i="7" s="1"/>
  <c r="E8" i="4"/>
  <c r="F8" s="1"/>
  <c r="G8" s="1"/>
  <c r="I8" s="1"/>
  <c r="B48" i="7" s="1"/>
  <c r="E9" i="4"/>
  <c r="F9" s="1"/>
  <c r="G9" s="1"/>
  <c r="I9" s="1"/>
  <c r="B103" i="7" s="1"/>
  <c r="E10" i="4"/>
  <c r="F10" s="1"/>
  <c r="G10" s="1"/>
  <c r="I10" s="1"/>
  <c r="B13" i="7" s="1"/>
  <c r="E11" i="4"/>
  <c r="F11" s="1"/>
  <c r="G11" s="1"/>
  <c r="I11" s="1"/>
  <c r="B100" i="7" s="1"/>
  <c r="E12" i="4"/>
  <c r="F12" s="1"/>
  <c r="G12" s="1"/>
  <c r="I12" s="1"/>
  <c r="E13"/>
  <c r="F13" s="1"/>
  <c r="G13" s="1"/>
  <c r="I13" s="1"/>
  <c r="E14"/>
  <c r="F14" s="1"/>
  <c r="G14" s="1"/>
  <c r="I14" s="1"/>
  <c r="E15"/>
  <c r="F15" s="1"/>
  <c r="G15" s="1"/>
  <c r="I15" s="1"/>
  <c r="B16" i="7" s="1"/>
  <c r="E16" i="4"/>
  <c r="F16" s="1"/>
  <c r="G16" s="1"/>
  <c r="I16" s="1"/>
  <c r="E19"/>
  <c r="F19" s="1"/>
  <c r="G19" s="1"/>
  <c r="I19" s="1"/>
  <c r="B98" i="7" s="1"/>
  <c r="E18" i="4"/>
  <c r="F18" s="1"/>
  <c r="G18" s="1"/>
  <c r="I18" s="1"/>
  <c r="B34" i="7" s="1"/>
  <c r="E17" i="4"/>
  <c r="F17" s="1"/>
  <c r="G17" s="1"/>
  <c r="I17" s="1"/>
  <c r="B101" i="7" s="1"/>
  <c r="E5" i="4"/>
  <c r="F5" s="1"/>
  <c r="G5" s="1"/>
  <c r="I5" s="1"/>
  <c r="B19" i="7" s="1"/>
  <c r="F4" i="4"/>
  <c r="I5" i="6" l="1"/>
  <c r="F5" i="5"/>
  <c r="G5" s="1"/>
  <c r="I5" s="1"/>
  <c r="F4"/>
  <c r="C6"/>
  <c r="F4" i="2"/>
  <c r="E9"/>
  <c r="F9" s="1"/>
  <c r="G9" s="1"/>
  <c r="I9" s="1"/>
  <c r="E8"/>
  <c r="F8" s="1"/>
  <c r="G8" s="1"/>
  <c r="I8" s="1"/>
  <c r="B29" i="7" s="1"/>
  <c r="E7" i="2"/>
  <c r="F7" s="1"/>
  <c r="G7" s="1"/>
  <c r="I7" s="1"/>
  <c r="B8" i="7" s="1"/>
  <c r="E6" i="2"/>
  <c r="F6" s="1"/>
  <c r="G6" s="1"/>
  <c r="I6" s="1"/>
  <c r="E5"/>
  <c r="F5" s="1"/>
  <c r="G5" s="1"/>
  <c r="I5" s="1"/>
  <c r="B27" i="7" l="1"/>
  <c r="E5" i="1"/>
  <c r="E6" l="1"/>
  <c r="E7"/>
  <c r="E8"/>
  <c r="E9"/>
  <c r="E10"/>
  <c r="E11"/>
  <c r="D5"/>
  <c r="F5" s="1"/>
  <c r="D6"/>
  <c r="D7"/>
  <c r="D8"/>
  <c r="D9"/>
  <c r="D10"/>
  <c r="D11"/>
  <c r="D4"/>
  <c r="F4" s="1"/>
  <c r="F10" l="1"/>
  <c r="G10" s="1"/>
  <c r="I10" s="1"/>
  <c r="B81" i="7" s="1"/>
  <c r="F8" i="1"/>
  <c r="G8" s="1"/>
  <c r="I8" s="1"/>
  <c r="B94" i="7" s="1"/>
  <c r="F6" i="1"/>
  <c r="G6" s="1"/>
  <c r="I6" s="1"/>
  <c r="B26" i="7" s="1"/>
  <c r="F11" i="1"/>
  <c r="G11" s="1"/>
  <c r="I11" s="1"/>
  <c r="F9"/>
  <c r="G9" s="1"/>
  <c r="I9" s="1"/>
  <c r="B110" i="7" s="1"/>
  <c r="F7" i="1"/>
  <c r="G7" s="1"/>
  <c r="I7" s="1"/>
  <c r="B80" i="7" s="1"/>
  <c r="G5" i="1"/>
  <c r="I5" s="1"/>
  <c r="B85" i="7" s="1"/>
</calcChain>
</file>

<file path=xl/sharedStrings.xml><?xml version="1.0" encoding="utf-8"?>
<sst xmlns="http://schemas.openxmlformats.org/spreadsheetml/2006/main" count="815" uniqueCount="271">
  <si>
    <t>ДАТА:</t>
  </si>
  <si>
    <t>Курс</t>
  </si>
  <si>
    <t>руб/долл</t>
  </si>
  <si>
    <t>НИК УЗ</t>
  </si>
  <si>
    <t>Стоимость заказа, $</t>
  </si>
  <si>
    <t>Стоимость доставки, $</t>
  </si>
  <si>
    <t>ИТОГО, 
руб.</t>
  </si>
  <si>
    <t>Оплачено</t>
  </si>
  <si>
    <t>Долг</t>
  </si>
  <si>
    <t>Я Н А</t>
  </si>
  <si>
    <t>я</t>
  </si>
  <si>
    <t>Валерка</t>
  </si>
  <si>
    <t>hellcat222</t>
  </si>
  <si>
    <t>Анютик</t>
  </si>
  <si>
    <t>лис-и4-ка</t>
  </si>
  <si>
    <t>анютка.4713</t>
  </si>
  <si>
    <t>Медведица</t>
  </si>
  <si>
    <t>Кол-во позиций</t>
  </si>
  <si>
    <t>ИТОГО, 
$</t>
  </si>
  <si>
    <t>ОРГ %</t>
  </si>
  <si>
    <t>360 оплата + все депозиты(херб 11 р., кокон 2 р, саса 751 р.)</t>
  </si>
  <si>
    <t>Arizona</t>
  </si>
  <si>
    <t>Ir_86</t>
  </si>
  <si>
    <t>iwonna…</t>
  </si>
  <si>
    <t>LaPetite</t>
  </si>
  <si>
    <t xml:space="preserve">не было ChinaGlaze It's A Trap-Eze! И ChinaGlaze Urban-Night </t>
  </si>
  <si>
    <t>не былоNY39 NEW YORK-Alpha Jewel Glitter * $1.89 $1.89 </t>
  </si>
  <si>
    <t>Felixx</t>
  </si>
  <si>
    <t>marty2002</t>
  </si>
  <si>
    <t>Gardeya</t>
  </si>
  <si>
    <t>momo5000</t>
  </si>
  <si>
    <t>РУФА</t>
  </si>
  <si>
    <t>Djessika</t>
  </si>
  <si>
    <t>Нашка</t>
  </si>
  <si>
    <t>meze</t>
  </si>
  <si>
    <t>Amic@</t>
  </si>
  <si>
    <t>elena_serdyuk</t>
  </si>
  <si>
    <t>олёк</t>
  </si>
  <si>
    <t>kuzia_1</t>
  </si>
  <si>
    <t>НастЯЯЯ</t>
  </si>
  <si>
    <t>bellisa</t>
  </si>
  <si>
    <t>zolotkat</t>
  </si>
  <si>
    <t>may-lyudmila</t>
  </si>
  <si>
    <t>ник</t>
  </si>
  <si>
    <t>баланс по лакам</t>
  </si>
  <si>
    <t>Bellisa</t>
  </si>
  <si>
    <t>Olishna72</t>
  </si>
  <si>
    <t>НЕ БЫЛО НАЛИЧИЯ:</t>
  </si>
  <si>
    <t>China Glaze It’s a Trap-eze 2012 </t>
  </si>
  <si>
    <t>China Glaze Some like it haute 80773 </t>
  </si>
  <si>
    <t>luddy</t>
  </si>
  <si>
    <t>mendelin</t>
  </si>
  <si>
    <t>Anyunya</t>
  </si>
  <si>
    <t>more-more</t>
  </si>
  <si>
    <t>4, 7</t>
  </si>
  <si>
    <t>Юляska</t>
  </si>
  <si>
    <t>olishna72</t>
  </si>
  <si>
    <t>Лис-и4-ка</t>
  </si>
  <si>
    <t>Sorok-i</t>
  </si>
  <si>
    <t>nailetc</t>
  </si>
  <si>
    <t>номер закладки - СП
пометка N по сайту nailetc</t>
  </si>
  <si>
    <t>Если это произойдет, раскидаю доп.счет. В согласованных условиях - 2$ за шт.</t>
  </si>
  <si>
    <t>Почему-то доставку сайт посчитал не так, как указано в условиях сайта для России</t>
  </si>
  <si>
    <t xml:space="preserve">Поэтому пока в сверке доставка 1,69 $ на 1 шт. Но возможно, когда будет списание банком, они доспишут остаток суммы. </t>
  </si>
  <si>
    <t>3, 6, 8</t>
  </si>
  <si>
    <t>Не было наличия:</t>
  </si>
  <si>
    <t>http://www.nailetc.com/opf56peloopi.html</t>
  </si>
  <si>
    <t>ссылка</t>
  </si>
  <si>
    <t>5 р. Убрала в счет основы</t>
  </si>
  <si>
    <t>выкуплен 19.07.13</t>
  </si>
  <si>
    <t>Onlinekate</t>
  </si>
  <si>
    <t>Нафаня</t>
  </si>
  <si>
    <t>sorok-i</t>
  </si>
  <si>
    <t>7, 9</t>
  </si>
  <si>
    <t>нафаня</t>
  </si>
  <si>
    <t>в итоге отправили не все! Буду менять условия работы с магазином, чтобы при оплате знать тоное наличие.</t>
  </si>
  <si>
    <t>сверку скорректировала по факту получения, у кого не вложили позиции, отмечен депозит.</t>
  </si>
  <si>
    <t xml:space="preserve">доставка вышла 2,04$ за шт. </t>
  </si>
  <si>
    <t>140 вычла в счет оплаты iherb 101</t>
  </si>
  <si>
    <t>выкуплен 09.08.13</t>
  </si>
  <si>
    <t>Оля Лёля</t>
  </si>
  <si>
    <t>puschok37</t>
  </si>
  <si>
    <t>Женчик</t>
  </si>
  <si>
    <t>sewa11</t>
  </si>
  <si>
    <t>Asian_butterfly</t>
  </si>
  <si>
    <t>Olga_kir</t>
  </si>
  <si>
    <t>zannoza</t>
  </si>
  <si>
    <t>valentinka_lapo4ka</t>
  </si>
  <si>
    <t>simba-07</t>
  </si>
  <si>
    <t>депозит перекрыл. См.баланс</t>
  </si>
  <si>
    <t>4, 9, 10</t>
  </si>
  <si>
    <t>22 р внесла из депозита на Джиме, 6 р. из депозита на iherb</t>
  </si>
  <si>
    <t>238 р. убрала в счет оплаты iherb 108</t>
  </si>
  <si>
    <t>Девушки, я отправляла дозаказ, который обещали включить сразу, но они его не включили в посылку и отправили через 2 недели только</t>
  </si>
  <si>
    <t>Все в рамках оплаченной доставки. Поэтому по сути дозаказ идет отдельной посылкой, но он вошел в СП 10.</t>
  </si>
  <si>
    <t>Долг (-). Переплата (+)</t>
  </si>
  <si>
    <t>В наличии не было:</t>
  </si>
  <si>
    <t>CND VINYLUX 118</t>
  </si>
  <si>
    <t>E702 ESSIE-Mint Candy Apple</t>
  </si>
  <si>
    <t>59007 EZF-Fade Away 2oz. Tube</t>
  </si>
  <si>
    <t>00065  EZF-Wild Files 6/Pack</t>
  </si>
  <si>
    <t>13591 ESSIE Summer Mini Cube 4/pc
не прислали</t>
  </si>
  <si>
    <t>Elegance</t>
  </si>
  <si>
    <t>8, 9, 10</t>
  </si>
  <si>
    <t>отдала 5 р на телефон</t>
  </si>
  <si>
    <t>выкуплен</t>
  </si>
  <si>
    <t>Ksaila</t>
  </si>
  <si>
    <t>YLIA81</t>
  </si>
  <si>
    <t>Figura</t>
  </si>
  <si>
    <t>не было:</t>
  </si>
  <si>
    <t>01543 GELISH SIMPLY MAUV-ELOUS DAHLING</t>
  </si>
  <si>
    <t>01539 GELISH RED-Y TO WEAR </t>
  </si>
  <si>
    <t>OPI Disney’s Oz the Great and Powerful Collection Glitter 5-T58 T58</t>
  </si>
  <si>
    <t>V161 CND-VINYLUX Burnt Romance</t>
  </si>
  <si>
    <t>V112 CND-VINYLUX Electric Orange 0.5oz</t>
  </si>
  <si>
    <t xml:space="preserve">OPI NEW YORK CITY Collection You Callin’ Me a Lyre? </t>
  </si>
  <si>
    <t>сняла 129 руб в оплату iherb 114</t>
  </si>
  <si>
    <t>отправили 03.10.13</t>
  </si>
  <si>
    <t>00670  N TEK-Hydration therapy Moisture Balancing Topcoat 0.5oz.</t>
  </si>
  <si>
    <t>Simba-07</t>
  </si>
  <si>
    <t>семицветик1</t>
  </si>
  <si>
    <t>Lavela</t>
  </si>
  <si>
    <t>p_tasha</t>
  </si>
  <si>
    <t>Di Na</t>
  </si>
  <si>
    <t>EnotOxx</t>
  </si>
  <si>
    <t>Блестящая</t>
  </si>
  <si>
    <t>10, 12</t>
  </si>
  <si>
    <t>11, 12</t>
  </si>
  <si>
    <t>отправили 04.11.13</t>
  </si>
  <si>
    <t>Olga_Kir</t>
  </si>
  <si>
    <t>Zhannusya</t>
  </si>
  <si>
    <t>TianDe</t>
  </si>
  <si>
    <t>maxaON</t>
  </si>
  <si>
    <t xml:space="preserve"> p_tasha</t>
  </si>
  <si>
    <t>Opi the spy who loved me </t>
  </si>
  <si>
    <t>OPI  Lapis DS045 $7.25</t>
  </si>
  <si>
    <t>OPI Houston We Have a Purple * 5-T18</t>
  </si>
  <si>
    <t>09216 CND SpaManicure Massage Silk 2oz.</t>
  </si>
  <si>
    <t>01018 Poshe - Super-Fast Drying Top Coat 0.5oz.</t>
  </si>
  <si>
    <t>4, 7, 10, 12,13</t>
  </si>
  <si>
    <t>12, 13</t>
  </si>
  <si>
    <t>отправили 16.12.13</t>
  </si>
  <si>
    <t>praline</t>
  </si>
  <si>
    <t>Юля Нск</t>
  </si>
  <si>
    <t>нашка</t>
  </si>
  <si>
    <t>SANITA</t>
  </si>
  <si>
    <t>10095 50-Tip In A Ring-White</t>
  </si>
  <si>
    <t>Wood Cuticle Pusher 6" 4448 Wood Pusher 100/Bag</t>
  </si>
  <si>
    <t>Wood Cuticle Pusher 7" CWS-7 Wood Pusher 100/Bag</t>
  </si>
  <si>
    <t>10, 12, 13, 14</t>
  </si>
  <si>
    <t>курс будет уточнен по факту списания банком</t>
  </si>
  <si>
    <t>Барышни, коэффициент по доставке в это раз немного выше получился, раскидывала пропорционально, как всегда.</t>
  </si>
  <si>
    <t>2, 4, 8, 11, 13, 14</t>
  </si>
  <si>
    <t>lakku</t>
  </si>
  <si>
    <t>Настеньк@</t>
  </si>
  <si>
    <t>Юляskа</t>
  </si>
  <si>
    <t>убрала 130 р. - наличие, 7 р - долг саса 14, 8 р. долг херб, 16 р - долг ракутен 4</t>
  </si>
  <si>
    <t>не было</t>
  </si>
  <si>
    <t xml:space="preserve">OPI-Peace &amp; Love &amp; OPI 5-F56 </t>
  </si>
  <si>
    <t>Отправлен 27.02</t>
  </si>
  <si>
    <t>3, 6, 9, 10, 15</t>
  </si>
  <si>
    <t>271 р. добавила из ракутен 4</t>
  </si>
  <si>
    <t>2, 8, 15</t>
  </si>
  <si>
    <t>8, 9, 12, 15</t>
  </si>
  <si>
    <t>OPI Too Smooth 2/Pack SRE18</t>
  </si>
  <si>
    <t>Ann_T</t>
  </si>
  <si>
    <t>trumea</t>
  </si>
  <si>
    <t>missis smith</t>
  </si>
  <si>
    <t>eEnotOxx</t>
  </si>
  <si>
    <t>sunny_julianna</t>
  </si>
  <si>
    <t>AlisaKa</t>
  </si>
  <si>
    <t>JulyaS</t>
  </si>
  <si>
    <t>Zina30-78</t>
  </si>
  <si>
    <t>Анна Коваленко</t>
  </si>
  <si>
    <t>Веро4ка</t>
  </si>
  <si>
    <t>Elenn</t>
  </si>
  <si>
    <t>zhannusya</t>
  </si>
  <si>
    <t>BrnNsk</t>
  </si>
  <si>
    <t>11, 16</t>
  </si>
  <si>
    <t>6, 7, 8, 9, 16</t>
  </si>
  <si>
    <t>1 р перенесла в джим 15</t>
  </si>
  <si>
    <t>142 возмещение по лаку, сняла за наличие</t>
  </si>
  <si>
    <t>China Glaze Sun of a Peach №1211 81318 </t>
  </si>
  <si>
    <t>Catberry</t>
  </si>
  <si>
    <t>bizkit</t>
  </si>
  <si>
    <t>Grafinya SAS</t>
  </si>
  <si>
    <t>Анэстас</t>
  </si>
  <si>
    <t>12, 14, 16, 17</t>
  </si>
  <si>
    <t>enotOxx</t>
  </si>
  <si>
    <t>убрала 2 р в счет Iherb 206</t>
  </si>
  <si>
    <t>45 р. Убрала за наличие 19.05.14, 117 р убрала за наличие 03.06.2014</t>
  </si>
  <si>
    <t>2 р убрала на кокон 30</t>
  </si>
  <si>
    <t>60238 EZF-Miracle Shine /Each</t>
  </si>
  <si>
    <t>83117 Seche-Clear Base 0.5oz.</t>
  </si>
  <si>
    <t>Rosочка</t>
  </si>
  <si>
    <t>menthol</t>
  </si>
  <si>
    <t>nura180</t>
  </si>
  <si>
    <t>Vikus'ka</t>
  </si>
  <si>
    <t>Бабочка717</t>
  </si>
  <si>
    <t>фантазия1</t>
  </si>
  <si>
    <t>3, 5, 7, 8, 9, 10, 12, 13, 15, 17, 18</t>
  </si>
  <si>
    <t>4, 9, 13, 14, 15,17, 18</t>
  </si>
  <si>
    <t>16, 18</t>
  </si>
  <si>
    <t>4 р перенесла со сверки кокон 36</t>
  </si>
  <si>
    <t xml:space="preserve">Arizona  </t>
  </si>
  <si>
    <t>Jane26</t>
  </si>
  <si>
    <t>Stacy</t>
  </si>
  <si>
    <t xml:space="preserve">Валерка  </t>
  </si>
  <si>
    <t>Гвоздика</t>
  </si>
  <si>
    <t>Марьяна Алексеевна</t>
  </si>
  <si>
    <t>Тарасова</t>
  </si>
  <si>
    <t>Аделета</t>
  </si>
  <si>
    <t>17, 18, 19</t>
  </si>
  <si>
    <t>10, 11,15, 18, 19</t>
  </si>
  <si>
    <t>10, 11, 12, 13, 14, 16, 17, 18, 19</t>
  </si>
  <si>
    <t>2, 7, 16, 19</t>
  </si>
  <si>
    <t>Irynya</t>
  </si>
  <si>
    <t>Frence</t>
  </si>
  <si>
    <t>gloriya1</t>
  </si>
  <si>
    <t>18,19,20</t>
  </si>
  <si>
    <t>оплата до 02.12</t>
  </si>
  <si>
    <t>посылку уже собрали</t>
  </si>
  <si>
    <t>MamaLizo4ki</t>
  </si>
  <si>
    <t>Ксенка</t>
  </si>
  <si>
    <t>oksy82</t>
  </si>
  <si>
    <t>Зайчонок 1</t>
  </si>
  <si>
    <t>FORTUNA</t>
  </si>
  <si>
    <t>Аметист</t>
  </si>
  <si>
    <t>КатьЁнок</t>
  </si>
  <si>
    <t>Rikka</t>
  </si>
  <si>
    <t xml:space="preserve">meze  </t>
  </si>
  <si>
    <t xml:space="preserve">Svetlada </t>
  </si>
  <si>
    <t>Таянэ</t>
  </si>
  <si>
    <t>не вошло</t>
  </si>
  <si>
    <t>http://www.nailsupplies.us/50-tip-in-a-ring-white</t>
  </si>
  <si>
    <t>http://nailetc.com/mtcohafome.html</t>
  </si>
  <si>
    <t>http://www.nailsupplies.us/barielle-extra-gentle-cuticle-minimizer-gel-0-5oz/ </t>
  </si>
  <si>
    <t>6, 11, 13,19,21</t>
  </si>
  <si>
    <t>4, 7, 21</t>
  </si>
  <si>
    <t>6, 8, 11,18,20, 21</t>
  </si>
  <si>
    <t>12, 13, 14, 16, 17, 18, 21</t>
  </si>
  <si>
    <t>13, 16, 17, 19, 20, 21</t>
  </si>
  <si>
    <t>18, 20, 21</t>
  </si>
  <si>
    <t>19, 21</t>
  </si>
  <si>
    <t>2, 9,  10, 11, 13, 14, 18, 19, 21</t>
  </si>
  <si>
    <t>8 р перенесла с moyu</t>
  </si>
  <si>
    <t>24 р убрала в счет наличия 10.01.15</t>
  </si>
  <si>
    <t>убрала в счет англия3</t>
  </si>
  <si>
    <t>убрала 8 р в счет оплаты наличия 12.01.2015</t>
  </si>
  <si>
    <t>Посылка в пути</t>
  </si>
  <si>
    <t>Konfetka</t>
  </si>
  <si>
    <t>lusiknsk</t>
  </si>
  <si>
    <t>Евгения-ЕВА</t>
  </si>
  <si>
    <t xml:space="preserve">zannoza </t>
  </si>
  <si>
    <t>Drugok</t>
  </si>
  <si>
    <t>Гарлем</t>
  </si>
  <si>
    <t>Бедешка</t>
  </si>
  <si>
    <t xml:space="preserve">UltraViolettt  </t>
  </si>
  <si>
    <t>CND-VINYLUX Weekly Top Coat 0.5oz. 09862</t>
  </si>
  <si>
    <t>ScrubFresh 2oz 18036</t>
  </si>
  <si>
    <t>не было в наличии</t>
  </si>
  <si>
    <t>3, 4, 7, 10, 11, 13,15, 17, 18,19,20, 22</t>
  </si>
  <si>
    <t>18, 19,20, 22</t>
  </si>
  <si>
    <t>3, 6, 10, 11, 15, 19, 21, 22</t>
  </si>
  <si>
    <t>20, 21,22</t>
  </si>
  <si>
    <t>10, 11, 12, 14,15, 18, 19, 20, 21, 22</t>
  </si>
  <si>
    <t>11, 13, 15, 19,20, 21, 22</t>
  </si>
  <si>
    <t>16, 19, 20, 22</t>
  </si>
  <si>
    <t>19, 21, 22</t>
  </si>
  <si>
    <t>21, 22</t>
  </si>
  <si>
    <t>4, 6, 7, 20, 22</t>
  </si>
</sst>
</file>

<file path=xl/styles.xml><?xml version="1.0" encoding="utf-8"?>
<styleSheet xmlns="http://schemas.openxmlformats.org/spreadsheetml/2006/main">
  <fonts count="26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6"/>
      <color rgb="FFFF0000"/>
      <name val="Calibri"/>
      <family val="2"/>
      <charset val="204"/>
      <scheme val="minor"/>
    </font>
    <font>
      <b/>
      <i/>
      <sz val="11"/>
      <color rgb="FFFF00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9"/>
      <color rgb="FF000000"/>
      <name val="Verdana"/>
      <family val="2"/>
      <charset val="204"/>
    </font>
    <font>
      <b/>
      <sz val="20"/>
      <color theme="1"/>
      <name val="Calibri"/>
      <family val="2"/>
      <charset val="204"/>
      <scheme val="minor"/>
    </font>
    <font>
      <b/>
      <u/>
      <sz val="16"/>
      <color rgb="FF00B050"/>
      <name val="Calibri"/>
      <family val="2"/>
      <charset val="204"/>
      <scheme val="minor"/>
    </font>
    <font>
      <b/>
      <i/>
      <u/>
      <sz val="11"/>
      <color rgb="FF00B050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u/>
      <sz val="11"/>
      <color theme="10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  <font>
      <i/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9"/>
      <name val="Verdana"/>
      <family val="2"/>
      <charset val="204"/>
    </font>
    <font>
      <sz val="9"/>
      <color rgb="FF000000"/>
      <name val="Verdana"/>
      <family val="2"/>
      <charset val="204"/>
    </font>
    <font>
      <b/>
      <sz val="26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22"/>
      <color theme="1"/>
      <name val="Calibri"/>
      <family val="2"/>
      <charset val="204"/>
      <scheme val="minor"/>
    </font>
    <font>
      <b/>
      <sz val="20"/>
      <color rgb="FFFF000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1"/>
      <color indexed="8"/>
      <name val="Calibri"/>
      <family val="2"/>
      <charset val="1"/>
    </font>
    <font>
      <u/>
      <sz val="11"/>
      <color indexed="12"/>
      <name val="Calibri"/>
      <family val="2"/>
      <charset val="1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31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1" fillId="0" borderId="0" applyNumberFormat="0" applyFill="0" applyBorder="0" applyAlignment="0" applyProtection="0">
      <alignment vertical="top"/>
      <protection locked="0"/>
    </xf>
  </cellStyleXfs>
  <cellXfs count="95">
    <xf numFmtId="0" fontId="0" fillId="0" borderId="0" xfId="0"/>
    <xf numFmtId="0" fontId="2" fillId="2" borderId="0" xfId="0" applyFont="1" applyFill="1" applyAlignment="1">
      <alignment horizontal="center"/>
    </xf>
    <xf numFmtId="14" fontId="3" fillId="2" borderId="0" xfId="0" applyNumberFormat="1" applyFont="1" applyFill="1" applyAlignment="1">
      <alignment horizontal="center"/>
    </xf>
    <xf numFmtId="0" fontId="2" fillId="2" borderId="0" xfId="0" applyFont="1" applyFill="1" applyAlignment="1">
      <alignment horizontal="right"/>
    </xf>
    <xf numFmtId="0" fontId="3" fillId="2" borderId="0" xfId="0" applyFont="1" applyFill="1" applyAlignment="1">
      <alignment horizontal="center"/>
    </xf>
    <xf numFmtId="0" fontId="0" fillId="2" borderId="0" xfId="0" applyFill="1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0" fillId="2" borderId="0" xfId="0" applyFill="1" applyAlignment="1">
      <alignment wrapText="1"/>
    </xf>
    <xf numFmtId="0" fontId="0" fillId="2" borderId="1" xfId="0" applyFill="1" applyBorder="1" applyAlignment="1">
      <alignment wrapText="1"/>
    </xf>
    <xf numFmtId="1" fontId="0" fillId="2" borderId="1" xfId="0" applyNumberFormat="1" applyFill="1" applyBorder="1"/>
    <xf numFmtId="0" fontId="0" fillId="3" borderId="1" xfId="0" applyFill="1" applyBorder="1" applyAlignment="1">
      <alignment wrapText="1"/>
    </xf>
    <xf numFmtId="0" fontId="0" fillId="2" borderId="1" xfId="0" applyFill="1" applyBorder="1"/>
    <xf numFmtId="0" fontId="4" fillId="2" borderId="0" xfId="0" applyFont="1" applyFill="1"/>
    <xf numFmtId="0" fontId="1" fillId="3" borderId="1" xfId="0" applyFont="1" applyFill="1" applyBorder="1" applyAlignment="1">
      <alignment wrapText="1"/>
    </xf>
    <xf numFmtId="1" fontId="0" fillId="2" borderId="1" xfId="0" applyNumberFormat="1" applyFill="1" applyBorder="1" applyAlignment="1">
      <alignment wrapText="1"/>
    </xf>
    <xf numFmtId="1" fontId="0" fillId="3" borderId="1" xfId="0" applyNumberFormat="1" applyFill="1" applyBorder="1" applyAlignment="1">
      <alignment wrapText="1"/>
    </xf>
    <xf numFmtId="1" fontId="0" fillId="3" borderId="1" xfId="0" applyNumberFormat="1" applyFill="1" applyBorder="1"/>
    <xf numFmtId="1" fontId="5" fillId="2" borderId="1" xfId="0" applyNumberFormat="1" applyFont="1" applyFill="1" applyBorder="1" applyAlignment="1">
      <alignment horizontal="center"/>
    </xf>
    <xf numFmtId="1" fontId="0" fillId="4" borderId="1" xfId="0" applyNumberFormat="1" applyFill="1" applyBorder="1"/>
    <xf numFmtId="0" fontId="0" fillId="4" borderId="1" xfId="0" applyFill="1" applyBorder="1" applyAlignment="1">
      <alignment wrapText="1"/>
    </xf>
    <xf numFmtId="1" fontId="0" fillId="4" borderId="1" xfId="0" applyNumberFormat="1" applyFill="1" applyBorder="1" applyAlignment="1">
      <alignment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6" fillId="2" borderId="1" xfId="0" applyFont="1" applyFill="1" applyBorder="1" applyAlignment="1">
      <alignment wrapText="1"/>
    </xf>
    <xf numFmtId="0" fontId="8" fillId="2" borderId="0" xfId="0" applyFont="1" applyFill="1"/>
    <xf numFmtId="0" fontId="7" fillId="2" borderId="1" xfId="0" applyFont="1" applyFill="1" applyBorder="1"/>
    <xf numFmtId="0" fontId="0" fillId="2" borderId="1" xfId="0" applyFill="1" applyBorder="1" applyAlignment="1">
      <alignment horizontal="center"/>
    </xf>
    <xf numFmtId="0" fontId="0" fillId="2" borderId="0" xfId="0" applyFill="1" applyAlignment="1">
      <alignment horizontal="center" wrapText="1"/>
    </xf>
    <xf numFmtId="0" fontId="0" fillId="0" borderId="1" xfId="0" applyFill="1" applyBorder="1" applyAlignment="1">
      <alignment horizontal="center"/>
    </xf>
    <xf numFmtId="0" fontId="9" fillId="2" borderId="0" xfId="0" applyFont="1" applyFill="1" applyAlignment="1">
      <alignment horizontal="center"/>
    </xf>
    <xf numFmtId="0" fontId="10" fillId="2" borderId="0" xfId="0" applyFont="1" applyFill="1"/>
    <xf numFmtId="0" fontId="2" fillId="5" borderId="0" xfId="0" applyFont="1" applyFill="1"/>
    <xf numFmtId="0" fontId="12" fillId="2" borderId="0" xfId="1" applyFont="1" applyFill="1" applyAlignment="1" applyProtection="1"/>
    <xf numFmtId="0" fontId="2" fillId="5" borderId="0" xfId="0" applyFont="1" applyFill="1" applyBorder="1"/>
    <xf numFmtId="0" fontId="0" fillId="0" borderId="0" xfId="0" applyBorder="1"/>
    <xf numFmtId="0" fontId="13" fillId="0" borderId="0" xfId="0" applyFont="1"/>
    <xf numFmtId="0" fontId="4" fillId="0" borderId="0" xfId="0" applyFont="1"/>
    <xf numFmtId="0" fontId="14" fillId="2" borderId="0" xfId="0" applyFont="1" applyFill="1" applyAlignment="1">
      <alignment wrapText="1"/>
    </xf>
    <xf numFmtId="1" fontId="15" fillId="2" borderId="1" xfId="0" applyNumberFormat="1" applyFont="1" applyFill="1" applyBorder="1"/>
    <xf numFmtId="0" fontId="4" fillId="2" borderId="0" xfId="0" applyFont="1" applyFill="1" applyAlignment="1">
      <alignment wrapText="1"/>
    </xf>
    <xf numFmtId="0" fontId="6" fillId="2" borderId="0" xfId="0" applyFont="1" applyFill="1" applyAlignment="1">
      <alignment wrapText="1"/>
    </xf>
    <xf numFmtId="0" fontId="1" fillId="2" borderId="1" xfId="0" applyFont="1" applyFill="1" applyBorder="1" applyAlignment="1">
      <alignment wrapText="1"/>
    </xf>
    <xf numFmtId="0" fontId="16" fillId="2" borderId="0" xfId="0" applyFont="1" applyFill="1" applyBorder="1" applyAlignment="1">
      <alignment wrapText="1"/>
    </xf>
    <xf numFmtId="0" fontId="0" fillId="6" borderId="1" xfId="0" applyFill="1" applyBorder="1" applyAlignment="1">
      <alignment horizontal="center"/>
    </xf>
    <xf numFmtId="0" fontId="0" fillId="6" borderId="1" xfId="0" applyFill="1" applyBorder="1" applyAlignment="1">
      <alignment horizontal="center" wrapText="1"/>
    </xf>
    <xf numFmtId="0" fontId="0" fillId="6" borderId="1" xfId="0" applyFill="1" applyBorder="1" applyAlignment="1">
      <alignment wrapText="1"/>
    </xf>
    <xf numFmtId="1" fontId="0" fillId="6" borderId="1" xfId="0" applyNumberFormat="1" applyFill="1" applyBorder="1" applyAlignment="1">
      <alignment wrapText="1"/>
    </xf>
    <xf numFmtId="1" fontId="0" fillId="6" borderId="1" xfId="0" applyNumberFormat="1" applyFill="1" applyBorder="1"/>
    <xf numFmtId="1" fontId="5" fillId="6" borderId="1" xfId="0" applyNumberFormat="1" applyFont="1" applyFill="1" applyBorder="1" applyAlignment="1">
      <alignment horizontal="center"/>
    </xf>
    <xf numFmtId="0" fontId="6" fillId="2" borderId="1" xfId="0" applyFont="1" applyFill="1" applyBorder="1" applyAlignment="1"/>
    <xf numFmtId="0" fontId="17" fillId="2" borderId="1" xfId="0" applyFont="1" applyFill="1" applyBorder="1" applyAlignment="1"/>
    <xf numFmtId="0" fontId="0" fillId="2" borderId="1" xfId="0" applyFill="1" applyBorder="1" applyAlignment="1"/>
    <xf numFmtId="0" fontId="18" fillId="2" borderId="1" xfId="0" applyFont="1" applyFill="1" applyBorder="1" applyAlignment="1"/>
    <xf numFmtId="0" fontId="15" fillId="2" borderId="1" xfId="0" applyFont="1" applyFill="1" applyBorder="1" applyAlignment="1"/>
    <xf numFmtId="0" fontId="0" fillId="2" borderId="0" xfId="0" applyFill="1" applyAlignment="1"/>
    <xf numFmtId="0" fontId="19" fillId="0" borderId="0" xfId="0" applyFont="1"/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20" fillId="2" borderId="0" xfId="0" applyFont="1" applyFill="1"/>
    <xf numFmtId="0" fontId="21" fillId="0" borderId="0" xfId="0" applyFont="1"/>
    <xf numFmtId="0" fontId="1" fillId="6" borderId="1" xfId="0" applyFont="1" applyFill="1" applyBorder="1" applyAlignment="1">
      <alignment horizontal="left"/>
    </xf>
    <xf numFmtId="0" fontId="0" fillId="2" borderId="5" xfId="0" applyFill="1" applyBorder="1" applyAlignment="1">
      <alignment wrapText="1"/>
    </xf>
    <xf numFmtId="0" fontId="0" fillId="0" borderId="0" xfId="0" applyAlignment="1">
      <alignment horizontal="center"/>
    </xf>
    <xf numFmtId="0" fontId="18" fillId="2" borderId="1" xfId="0" applyFont="1" applyFill="1" applyBorder="1"/>
    <xf numFmtId="0" fontId="22" fillId="0" borderId="0" xfId="0" applyFont="1"/>
    <xf numFmtId="0" fontId="0" fillId="7" borderId="1" xfId="0" applyFill="1" applyBorder="1" applyAlignment="1">
      <alignment horizontal="center" wrapText="1"/>
    </xf>
    <xf numFmtId="1" fontId="0" fillId="8" borderId="1" xfId="0" applyNumberFormat="1" applyFill="1" applyBorder="1"/>
    <xf numFmtId="0" fontId="1" fillId="9" borderId="1" xfId="0" applyFont="1" applyFill="1" applyBorder="1" applyAlignment="1">
      <alignment wrapText="1"/>
    </xf>
    <xf numFmtId="0" fontId="18" fillId="2" borderId="0" xfId="0" applyFont="1" applyFill="1"/>
    <xf numFmtId="0" fontId="20" fillId="2" borderId="0" xfId="0" applyFont="1" applyFill="1" applyAlignment="1">
      <alignment wrapText="1"/>
    </xf>
    <xf numFmtId="0" fontId="0" fillId="2" borderId="1" xfId="0" applyFont="1" applyFill="1" applyBorder="1" applyAlignment="1">
      <alignment wrapText="1"/>
    </xf>
    <xf numFmtId="0" fontId="5" fillId="2" borderId="0" xfId="0" applyFont="1" applyFill="1" applyAlignment="1">
      <alignment wrapText="1"/>
    </xf>
    <xf numFmtId="0" fontId="23" fillId="0" borderId="1" xfId="0" applyFont="1" applyBorder="1" applyAlignment="1">
      <alignment horizontal="center"/>
    </xf>
    <xf numFmtId="0" fontId="15" fillId="2" borderId="1" xfId="0" applyFont="1" applyFill="1" applyBorder="1" applyAlignment="1">
      <alignment wrapText="1"/>
    </xf>
    <xf numFmtId="0" fontId="15" fillId="2" borderId="6" xfId="0" applyFont="1" applyFill="1" applyBorder="1" applyAlignment="1">
      <alignment wrapText="1"/>
    </xf>
    <xf numFmtId="0" fontId="15" fillId="0" borderId="1" xfId="0" applyFont="1" applyBorder="1"/>
    <xf numFmtId="0" fontId="15" fillId="2" borderId="7" xfId="0" applyFont="1" applyFill="1" applyBorder="1" applyAlignment="1">
      <alignment wrapText="1"/>
    </xf>
    <xf numFmtId="0" fontId="15" fillId="0" borderId="0" xfId="0" applyFont="1"/>
    <xf numFmtId="0" fontId="23" fillId="0" borderId="1" xfId="0" applyFont="1" applyBorder="1" applyAlignment="1">
      <alignment horizontal="center" wrapText="1"/>
    </xf>
    <xf numFmtId="1" fontId="15" fillId="0" borderId="1" xfId="0" applyNumberFormat="1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1" fontId="15" fillId="0" borderId="7" xfId="0" applyNumberFormat="1" applyFont="1" applyBorder="1" applyAlignment="1">
      <alignment horizontal="center"/>
    </xf>
    <xf numFmtId="0" fontId="15" fillId="0" borderId="7" xfId="0" applyFont="1" applyBorder="1" applyAlignment="1">
      <alignment horizontal="center"/>
    </xf>
    <xf numFmtId="0" fontId="15" fillId="0" borderId="1" xfId="0" applyFont="1" applyFill="1" applyBorder="1" applyAlignment="1">
      <alignment horizontal="center"/>
    </xf>
    <xf numFmtId="1" fontId="15" fillId="0" borderId="6" xfId="0" applyNumberFormat="1" applyFont="1" applyBorder="1" applyAlignment="1">
      <alignment horizontal="center"/>
    </xf>
    <xf numFmtId="0" fontId="15" fillId="0" borderId="6" xfId="0" applyFont="1" applyBorder="1" applyAlignment="1">
      <alignment horizontal="center"/>
    </xf>
    <xf numFmtId="0" fontId="15" fillId="0" borderId="0" xfId="0" applyFont="1" applyAlignment="1">
      <alignment horizontal="center"/>
    </xf>
    <xf numFmtId="1" fontId="0" fillId="2" borderId="1" xfId="0" applyNumberFormat="1" applyFill="1" applyBorder="1" applyAlignment="1">
      <alignment horizontal="center"/>
    </xf>
    <xf numFmtId="0" fontId="24" fillId="10" borderId="1" xfId="0" applyFont="1" applyFill="1" applyBorder="1" applyAlignment="1">
      <alignment wrapText="1"/>
    </xf>
    <xf numFmtId="0" fontId="25" fillId="0" borderId="0" xfId="1" applyFont="1" applyAlignment="1" applyProtection="1"/>
    <xf numFmtId="2" fontId="3" fillId="2" borderId="0" xfId="0" applyNumberFormat="1" applyFont="1" applyFill="1" applyAlignment="1">
      <alignment horizont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hyperlink" Target="http://forum.sibmama.ru/viewtopic.php?t=715424&amp;postdays=0&amp;postorder=asc&amp;start=6300&amp;sid=318b0b97196eee6305058713a3e1aa1d" TargetMode="External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mailto:Amic@" TargetMode="Externa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hyperlink" Target="http://nailetc.com/mtcohafome.html" TargetMode="External"/><Relationship Id="rId2" Type="http://schemas.openxmlformats.org/officeDocument/2006/relationships/hyperlink" Target="http://www.nailsupplies.us/50-tip-in-a-ring-white" TargetMode="External"/><Relationship Id="rId1" Type="http://schemas.openxmlformats.org/officeDocument/2006/relationships/hyperlink" Target="http://forum.sibmama.ru/viewtopic.php?t=715424&amp;start=12660" TargetMode="External"/><Relationship Id="rId4" Type="http://schemas.openxmlformats.org/officeDocument/2006/relationships/hyperlink" Target="http://www.nailsupplies.us/barielle-extra-gentle-cuticle-minimizer-gel-0-5oz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mailto:Amic@" TargetMode="Externa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nailetc.com/opf56peloopi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10"/>
  <sheetViews>
    <sheetView topLeftCell="A43" workbookViewId="0">
      <selection activeCell="A71" sqref="A71:XFD71"/>
    </sheetView>
  </sheetViews>
  <sheetFormatPr defaultRowHeight="15"/>
  <cols>
    <col min="1" max="1" width="21.7109375" style="81" customWidth="1"/>
    <col min="2" max="2" width="22.85546875" style="90" customWidth="1"/>
    <col min="3" max="3" width="29.28515625" style="90" customWidth="1"/>
  </cols>
  <sheetData>
    <row r="1" spans="1:3" ht="30">
      <c r="A1" s="76" t="s">
        <v>43</v>
      </c>
      <c r="B1" s="76" t="s">
        <v>44</v>
      </c>
      <c r="C1" s="82" t="s">
        <v>60</v>
      </c>
    </row>
    <row r="2" spans="1:3">
      <c r="A2" s="77" t="s">
        <v>170</v>
      </c>
      <c r="B2" s="83">
        <f>'16'!I11</f>
        <v>0.9229999999999734</v>
      </c>
      <c r="C2" s="84">
        <v>16</v>
      </c>
    </row>
    <row r="3" spans="1:3">
      <c r="A3" s="77" t="s">
        <v>35</v>
      </c>
      <c r="B3" s="83">
        <f>'4'!I13+'6'!I8+'17'!I11+'20'!I7+'22'!I19</f>
        <v>0.18561999999951695</v>
      </c>
      <c r="C3" s="84" t="s">
        <v>270</v>
      </c>
    </row>
    <row r="4" spans="1:3">
      <c r="A4" s="77" t="s">
        <v>165</v>
      </c>
      <c r="B4" s="83">
        <f>'16'!I4+'19'!I9+'20'!I6+'22'!I15</f>
        <v>-0.76317000000000235</v>
      </c>
      <c r="C4" s="84" t="s">
        <v>267</v>
      </c>
    </row>
    <row r="5" spans="1:3">
      <c r="A5" s="77" t="s">
        <v>52</v>
      </c>
      <c r="B5" s="83">
        <f>'7'!I12</f>
        <v>16.857400000000098</v>
      </c>
      <c r="C5" s="84">
        <v>7</v>
      </c>
    </row>
    <row r="6" spans="1:3">
      <c r="A6" s="77" t="s">
        <v>21</v>
      </c>
      <c r="B6" s="83">
        <f>'3'!I5+'6'!I9+'10'!I16+'11'!I8+'15'!I5+'19'!I5+'21'!I21+'22'!I7</f>
        <v>-0.6331099999997889</v>
      </c>
      <c r="C6" s="84" t="s">
        <v>263</v>
      </c>
    </row>
    <row r="7" spans="1:3">
      <c r="A7" s="77" t="s">
        <v>84</v>
      </c>
      <c r="B7" s="83">
        <f>'10'!I12</f>
        <v>77.221400000000017</v>
      </c>
      <c r="C7" s="84">
        <v>10</v>
      </c>
    </row>
    <row r="8" spans="1:3">
      <c r="A8" s="77" t="s">
        <v>45</v>
      </c>
      <c r="B8" s="83">
        <f>'3'!I7+'6'!I4+'8N'!I9</f>
        <v>-17.511349999999766</v>
      </c>
      <c r="C8" s="84" t="s">
        <v>64</v>
      </c>
    </row>
    <row r="9" spans="1:3">
      <c r="A9" s="77" t="s">
        <v>184</v>
      </c>
      <c r="B9" s="83">
        <f>'17'!I12</f>
        <v>0.21349999999998204</v>
      </c>
      <c r="C9" s="84">
        <v>17</v>
      </c>
    </row>
    <row r="10" spans="1:3">
      <c r="A10" s="77" t="s">
        <v>177</v>
      </c>
      <c r="B10" s="83">
        <f>'16'!I19</f>
        <v>1.7897000000000389</v>
      </c>
      <c r="C10" s="84">
        <v>16</v>
      </c>
    </row>
    <row r="11" spans="1:3">
      <c r="A11" s="77" t="s">
        <v>183</v>
      </c>
      <c r="B11" s="83">
        <f>'17'!I6+'18'!I13+'19'!I4</f>
        <v>7.5350000000355521E-2</v>
      </c>
      <c r="C11" s="84" t="s">
        <v>212</v>
      </c>
    </row>
    <row r="12" spans="1:3">
      <c r="A12" s="77" t="s">
        <v>123</v>
      </c>
      <c r="B12" s="83">
        <f>'12'!I15</f>
        <v>0.23500000000001364</v>
      </c>
      <c r="C12" s="84">
        <v>12</v>
      </c>
    </row>
    <row r="13" spans="1:3">
      <c r="A13" s="77" t="s">
        <v>32</v>
      </c>
      <c r="B13" s="83">
        <f>'4'!I10</f>
        <v>-1.8785750000000121</v>
      </c>
      <c r="C13" s="84">
        <v>4</v>
      </c>
    </row>
    <row r="14" spans="1:3">
      <c r="A14" s="74" t="s">
        <v>254</v>
      </c>
      <c r="B14" s="83">
        <f>'22'!I13</f>
        <v>-4.592000000002372E-2</v>
      </c>
      <c r="C14" s="84">
        <v>22</v>
      </c>
    </row>
    <row r="15" spans="1:3">
      <c r="A15" s="77" t="s">
        <v>102</v>
      </c>
      <c r="B15" s="83">
        <f>'10'!I28</f>
        <v>0.18909999999999627</v>
      </c>
      <c r="C15" s="84">
        <v>10</v>
      </c>
    </row>
    <row r="16" spans="1:3">
      <c r="A16" s="77" t="s">
        <v>36</v>
      </c>
      <c r="B16" s="83">
        <f>'4'!I15</f>
        <v>-11.497200000000021</v>
      </c>
      <c r="C16" s="84">
        <v>4</v>
      </c>
    </row>
    <row r="17" spans="1:3">
      <c r="A17" s="77" t="s">
        <v>175</v>
      </c>
      <c r="B17" s="83">
        <f>'16'!I17</f>
        <v>1.4737399999999639</v>
      </c>
      <c r="C17" s="84">
        <v>16</v>
      </c>
    </row>
    <row r="18" spans="1:3">
      <c r="A18" s="77" t="s">
        <v>124</v>
      </c>
      <c r="B18" s="83">
        <f>'12'!I16+'14'!I7+'16'!I8+'17'!I13</f>
        <v>0.13444999999995844</v>
      </c>
      <c r="C18" s="84" t="s">
        <v>187</v>
      </c>
    </row>
    <row r="19" spans="1:3">
      <c r="A19" s="77" t="s">
        <v>27</v>
      </c>
      <c r="B19" s="83">
        <f>'4'!I5</f>
        <v>19.005599999999959</v>
      </c>
      <c r="C19" s="84">
        <v>4</v>
      </c>
    </row>
    <row r="20" spans="1:3">
      <c r="A20" s="77" t="s">
        <v>108</v>
      </c>
      <c r="B20" s="83">
        <f>'11'!I14+'16'!I15</f>
        <v>0.54335000000006062</v>
      </c>
      <c r="C20" s="84" t="s">
        <v>178</v>
      </c>
    </row>
    <row r="21" spans="1:3">
      <c r="A21" s="77" t="s">
        <v>226</v>
      </c>
      <c r="B21" s="83">
        <f>'21'!I12</f>
        <v>0.47904999999997244</v>
      </c>
      <c r="C21" s="84">
        <v>21</v>
      </c>
    </row>
    <row r="22" spans="1:3">
      <c r="A22" s="77" t="s">
        <v>217</v>
      </c>
      <c r="B22" s="83">
        <f>'20'!I13</f>
        <v>4.6888199999998506</v>
      </c>
      <c r="C22" s="84">
        <v>20</v>
      </c>
    </row>
    <row r="23" spans="1:3">
      <c r="A23" s="77" t="s">
        <v>29</v>
      </c>
      <c r="B23" s="83">
        <f>'4'!I7</f>
        <v>-2.4390750000000025</v>
      </c>
      <c r="C23" s="84">
        <v>4</v>
      </c>
    </row>
    <row r="24" spans="1:3">
      <c r="A24" s="77" t="s">
        <v>218</v>
      </c>
      <c r="B24" s="83">
        <f>'20'!I14+'21'!I22+'22'!I9</f>
        <v>-0.18717000000037842</v>
      </c>
      <c r="C24" s="84" t="s">
        <v>264</v>
      </c>
    </row>
    <row r="25" spans="1:3">
      <c r="A25" s="77" t="s">
        <v>185</v>
      </c>
      <c r="B25" s="83">
        <f>'17'!I14</f>
        <v>-0.22022000000015396</v>
      </c>
      <c r="C25" s="84">
        <v>17</v>
      </c>
    </row>
    <row r="26" spans="1:3">
      <c r="A26" s="77" t="s">
        <v>12</v>
      </c>
      <c r="B26" s="83">
        <f>'2'!I6</f>
        <v>-30.142225000000053</v>
      </c>
      <c r="C26" s="84">
        <v>2</v>
      </c>
    </row>
    <row r="27" spans="1:3">
      <c r="A27" s="77" t="s">
        <v>22</v>
      </c>
      <c r="B27" s="83">
        <f>'3'!I6+'5'!I5+'7'!I5+'8N'!I6+'9'!I4+'10'!I4+'12'!I4+'13'!I4+'15'!I11+'17'!I8+'18'!I5</f>
        <v>0.29024500000099351</v>
      </c>
      <c r="C27" s="84" t="s">
        <v>200</v>
      </c>
    </row>
    <row r="28" spans="1:3">
      <c r="A28" s="77" t="s">
        <v>216</v>
      </c>
      <c r="B28" s="83">
        <f>'20'!I8</f>
        <v>0.21199999999998909</v>
      </c>
      <c r="C28" s="84">
        <v>20</v>
      </c>
    </row>
    <row r="29" spans="1:3">
      <c r="A29" s="77" t="s">
        <v>23</v>
      </c>
      <c r="B29" s="83">
        <f>'3'!I8+'6'!I10+'9'!I11+'10'!I11+'15'!I14</f>
        <v>3.8181300000001102</v>
      </c>
      <c r="C29" s="84" t="s">
        <v>160</v>
      </c>
    </row>
    <row r="30" spans="1:3">
      <c r="A30" s="77" t="s">
        <v>205</v>
      </c>
      <c r="B30" s="83">
        <f>'19'!I12</f>
        <v>-0.29540000000019973</v>
      </c>
      <c r="C30" s="84">
        <v>19</v>
      </c>
    </row>
    <row r="31" spans="1:3">
      <c r="A31" s="77" t="s">
        <v>171</v>
      </c>
      <c r="B31" s="83">
        <f>'16'!I12</f>
        <v>0.27199999999999136</v>
      </c>
      <c r="C31" s="84">
        <v>16</v>
      </c>
    </row>
    <row r="32" spans="1:3">
      <c r="A32" s="74" t="s">
        <v>250</v>
      </c>
      <c r="B32" s="83">
        <f>'22'!I4</f>
        <v>0.37519999999997822</v>
      </c>
      <c r="C32" s="84">
        <v>22</v>
      </c>
    </row>
    <row r="33" spans="1:3">
      <c r="A33" s="77" t="s">
        <v>106</v>
      </c>
      <c r="B33" s="83">
        <f>'11'!I12+'12'!I12</f>
        <v>7.3777500000001055</v>
      </c>
      <c r="C33" s="84" t="s">
        <v>127</v>
      </c>
    </row>
    <row r="34" spans="1:3">
      <c r="A34" s="77" t="s">
        <v>38</v>
      </c>
      <c r="B34" s="83">
        <f>'4'!I18</f>
        <v>-17.337525000000028</v>
      </c>
      <c r="C34" s="84">
        <v>4</v>
      </c>
    </row>
    <row r="35" spans="1:3">
      <c r="A35" s="77" t="s">
        <v>153</v>
      </c>
      <c r="B35" s="83">
        <f>'15'!I4</f>
        <v>9.0977500000000191</v>
      </c>
      <c r="C35" s="84">
        <v>15</v>
      </c>
    </row>
    <row r="36" spans="1:3">
      <c r="A36" s="77" t="s">
        <v>24</v>
      </c>
      <c r="B36" s="83">
        <f>'3'!I9+'4'!I16+'7'!I11+'10'!I9+'11'!I11+'13'!I9+'15'!I13+'17'!I9+'18'!I12+'19'!I11+'20'!I11+'22'!I6</f>
        <v>-0.30242999999885001</v>
      </c>
      <c r="C36" s="84" t="s">
        <v>261</v>
      </c>
    </row>
    <row r="37" spans="1:3">
      <c r="A37" s="77" t="s">
        <v>121</v>
      </c>
      <c r="B37" s="83">
        <f>'12'!I9</f>
        <v>0.38178000000016254</v>
      </c>
      <c r="C37" s="84">
        <v>12</v>
      </c>
    </row>
    <row r="38" spans="1:3">
      <c r="A38" s="77" t="s">
        <v>50</v>
      </c>
      <c r="B38" s="83">
        <f>'7'!I7</f>
        <v>4.1999999999999886</v>
      </c>
      <c r="C38" s="84">
        <v>8</v>
      </c>
    </row>
    <row r="39" spans="1:3">
      <c r="A39" s="74" t="s">
        <v>251</v>
      </c>
      <c r="B39" s="83">
        <f>'22'!I5</f>
        <v>0.37519999999997822</v>
      </c>
      <c r="C39" s="84">
        <v>22</v>
      </c>
    </row>
    <row r="40" spans="1:3">
      <c r="A40" s="77" t="s">
        <v>222</v>
      </c>
      <c r="B40" s="83">
        <f>'21'!I6</f>
        <v>0.43449999999995725</v>
      </c>
      <c r="C40" s="84">
        <v>21</v>
      </c>
    </row>
    <row r="41" spans="1:3">
      <c r="A41" s="80" t="s">
        <v>28</v>
      </c>
      <c r="B41" s="85">
        <f>'4'!I6+'9'!I5+'10'!I10</f>
        <v>3.8758099999999729</v>
      </c>
      <c r="C41" s="86" t="s">
        <v>90</v>
      </c>
    </row>
    <row r="42" spans="1:3">
      <c r="A42" s="77" t="s">
        <v>132</v>
      </c>
      <c r="B42" s="83">
        <f>'13'!I14</f>
        <v>-0.44299999999986994</v>
      </c>
      <c r="C42" s="84">
        <v>13</v>
      </c>
    </row>
    <row r="43" spans="1:3">
      <c r="A43" s="77" t="s">
        <v>42</v>
      </c>
      <c r="B43" s="83">
        <f>'6'!I7+'11'!I15+'13'!I16+'19'!I10+'21'!I24</f>
        <v>40.751494999999977</v>
      </c>
      <c r="C43" s="84" t="s">
        <v>237</v>
      </c>
    </row>
    <row r="44" spans="1:3">
      <c r="A44" s="77" t="s">
        <v>51</v>
      </c>
      <c r="B44" s="83">
        <f>'7'!I8</f>
        <v>8.4009999999998399</v>
      </c>
      <c r="C44" s="84">
        <v>7</v>
      </c>
    </row>
    <row r="45" spans="1:3">
      <c r="A45" s="79" t="str">
        <f>'18'!A11</f>
        <v>menthol</v>
      </c>
      <c r="B45" s="83">
        <f>'18'!I11+'19'!I22+'20'!I16</f>
        <v>-0.43903000000005932</v>
      </c>
      <c r="C45" s="84" t="s">
        <v>219</v>
      </c>
    </row>
    <row r="46" spans="1:3">
      <c r="A46" s="77" t="s">
        <v>230</v>
      </c>
      <c r="B46" s="83">
        <f>'4'!I12+'7'!I4+'21'!I23</f>
        <v>-2.3225000000252294E-2</v>
      </c>
      <c r="C46" s="84" t="s">
        <v>238</v>
      </c>
    </row>
    <row r="47" spans="1:3">
      <c r="A47" s="78" t="s">
        <v>167</v>
      </c>
      <c r="B47" s="88">
        <f>'16'!I7</f>
        <v>-0.12150000000002592</v>
      </c>
      <c r="C47" s="89">
        <v>16</v>
      </c>
    </row>
    <row r="48" spans="1:3">
      <c r="A48" s="77" t="s">
        <v>30</v>
      </c>
      <c r="B48" s="83">
        <f>'4'!I8</f>
        <v>-0.43907500000000255</v>
      </c>
      <c r="C48" s="87">
        <v>4</v>
      </c>
    </row>
    <row r="49" spans="1:4">
      <c r="A49" s="77" t="s">
        <v>53</v>
      </c>
      <c r="B49" s="83">
        <f>'7'!I13+'9'!I8</f>
        <v>14.363999999999919</v>
      </c>
      <c r="C49" s="87" t="s">
        <v>73</v>
      </c>
    </row>
    <row r="50" spans="1:4">
      <c r="A50" s="79" t="str">
        <f>'18'!A15</f>
        <v>nura180</v>
      </c>
      <c r="B50" s="83">
        <f>'18'!I15+'19'!I13+'20'!I15+'22'!I8</f>
        <v>0.33282999999994445</v>
      </c>
      <c r="C50" s="84" t="s">
        <v>262</v>
      </c>
    </row>
    <row r="51" spans="1:4">
      <c r="A51" s="77" t="s">
        <v>224</v>
      </c>
      <c r="B51" s="83">
        <f>'21'!I8</f>
        <v>0.23349999999999227</v>
      </c>
      <c r="C51" s="84">
        <v>21</v>
      </c>
    </row>
    <row r="52" spans="1:4">
      <c r="A52" s="77" t="s">
        <v>85</v>
      </c>
      <c r="B52" s="83">
        <f>'10'!I13+'12'!I14+'13'!I5+'14'!I10</f>
        <v>2.5064750000000799</v>
      </c>
      <c r="C52" s="84" t="s">
        <v>149</v>
      </c>
    </row>
    <row r="53" spans="1:4">
      <c r="A53" s="77" t="s">
        <v>46</v>
      </c>
      <c r="B53" s="83">
        <f>'6'!I5+'8N'!I7+'11'!I9+'18'!I6+'20'!I12+'21'!I5</f>
        <v>14.905889999999715</v>
      </c>
      <c r="C53" s="84" t="s">
        <v>239</v>
      </c>
    </row>
    <row r="54" spans="1:4">
      <c r="A54" s="78" t="s">
        <v>70</v>
      </c>
      <c r="B54" s="88">
        <f>'9'!I9</f>
        <v>17.895999999999958</v>
      </c>
      <c r="C54" s="89">
        <v>9</v>
      </c>
    </row>
    <row r="55" spans="1:4">
      <c r="A55" s="77" t="s">
        <v>122</v>
      </c>
      <c r="B55" s="83">
        <f>'12'!I11+'13'!I18+'14'!I5+'16'!I5+'17'!I10+'18'!I20+'21'!I17</f>
        <v>0.19535000000078639</v>
      </c>
      <c r="C55" s="84" t="s">
        <v>240</v>
      </c>
    </row>
    <row r="56" spans="1:4">
      <c r="A56" s="77" t="s">
        <v>142</v>
      </c>
      <c r="B56" s="83">
        <f>'14'!I4</f>
        <v>6.2832499999999527</v>
      </c>
      <c r="C56" s="84">
        <v>14</v>
      </c>
    </row>
    <row r="57" spans="1:4">
      <c r="A57" s="77" t="s">
        <v>81</v>
      </c>
      <c r="B57" s="83">
        <f>'10'!I6</f>
        <v>9.6626000000001113</v>
      </c>
      <c r="C57" s="84">
        <v>10</v>
      </c>
    </row>
    <row r="58" spans="1:4">
      <c r="A58" s="77" t="s">
        <v>229</v>
      </c>
      <c r="B58" s="83">
        <f>'21'!I18</f>
        <v>0.21275000000002819</v>
      </c>
      <c r="C58" s="84">
        <v>21</v>
      </c>
    </row>
    <row r="59" spans="1:4">
      <c r="A59" s="79" t="str">
        <f>'18'!A10</f>
        <v>Rosочка</v>
      </c>
      <c r="B59" s="83">
        <f>'18'!I10</f>
        <v>0.31575000000000841</v>
      </c>
      <c r="C59" s="84">
        <v>18</v>
      </c>
    </row>
    <row r="60" spans="1:4">
      <c r="A60" s="77" t="s">
        <v>145</v>
      </c>
      <c r="B60" s="83">
        <f>'14'!I12</f>
        <v>1.5378499999999633</v>
      </c>
      <c r="C60" s="84">
        <v>14</v>
      </c>
      <c r="D60" s="37"/>
    </row>
    <row r="61" spans="1:4">
      <c r="A61" s="77" t="s">
        <v>83</v>
      </c>
      <c r="B61" s="83">
        <f>'10'!I8+'11'!I7+'15'!I6+'18'!I8+'19'!I7</f>
        <v>6.813650000000024</v>
      </c>
      <c r="C61" s="84" t="s">
        <v>213</v>
      </c>
    </row>
    <row r="62" spans="1:4">
      <c r="A62" s="77" t="s">
        <v>58</v>
      </c>
      <c r="B62" s="83">
        <f>'8N'!I11+'9'!I12+'10'!I26</f>
        <v>-53.915080000000046</v>
      </c>
      <c r="C62" s="84" t="s">
        <v>103</v>
      </c>
    </row>
    <row r="63" spans="1:4">
      <c r="A63" s="77" t="s">
        <v>206</v>
      </c>
      <c r="B63" s="83">
        <f>'19'!I15</f>
        <v>0.45119999999997162</v>
      </c>
      <c r="C63" s="84">
        <v>19</v>
      </c>
    </row>
    <row r="64" spans="1:4">
      <c r="A64" s="77" t="s">
        <v>169</v>
      </c>
      <c r="B64" s="83">
        <f>'16'!I10</f>
        <v>5.6100000000043337E-2</v>
      </c>
      <c r="C64" s="84">
        <v>16</v>
      </c>
    </row>
    <row r="65" spans="1:3">
      <c r="A65" s="77" t="s">
        <v>231</v>
      </c>
      <c r="B65" s="83">
        <f>'21'!I25</f>
        <v>-0.33395000000001573</v>
      </c>
      <c r="C65" s="84">
        <v>21</v>
      </c>
    </row>
    <row r="66" spans="1:3">
      <c r="A66" s="77" t="s">
        <v>131</v>
      </c>
      <c r="B66" s="83">
        <f>'13'!I13</f>
        <v>0.2489500000000362</v>
      </c>
      <c r="C66" s="84">
        <v>13</v>
      </c>
    </row>
    <row r="67" spans="1:3">
      <c r="A67" s="77" t="s">
        <v>166</v>
      </c>
      <c r="B67" s="83">
        <f>'10'!I19+'10'!I27+'11'!I10+'12'!I6+'13'!I11+'14'!I13+'16'!I6+'17'!I5+'18'!I9+'19'!I8</f>
        <v>-0.18185999999974456</v>
      </c>
      <c r="C67" s="84" t="s">
        <v>214</v>
      </c>
    </row>
    <row r="68" spans="1:3">
      <c r="A68" s="74" t="s">
        <v>257</v>
      </c>
      <c r="B68" s="83">
        <f>'22'!I20</f>
        <v>-0.4536000000000513</v>
      </c>
      <c r="C68" s="84">
        <v>22</v>
      </c>
    </row>
    <row r="69" spans="1:3">
      <c r="A69" s="77" t="s">
        <v>87</v>
      </c>
      <c r="B69" s="83">
        <f>'10'!I18+'12'!I10</f>
        <v>0.29666000000020176</v>
      </c>
      <c r="C69" s="84" t="s">
        <v>126</v>
      </c>
    </row>
    <row r="70" spans="1:3">
      <c r="A70" s="79" t="str">
        <f>'18'!A16</f>
        <v>Vikus'ka</v>
      </c>
      <c r="B70" s="83">
        <f>'18'!I16</f>
        <v>0.41055000000005748</v>
      </c>
      <c r="C70" s="84">
        <v>18</v>
      </c>
    </row>
    <row r="71" spans="1:3">
      <c r="A71" s="77" t="s">
        <v>107</v>
      </c>
      <c r="B71" s="83">
        <f>'11'!I13+'13'!I12+'15'!I9+'19'!I6+'20'!I10+'21'!I4+'22'!I12</f>
        <v>-68.772150000000067</v>
      </c>
      <c r="C71" s="84" t="s">
        <v>266</v>
      </c>
    </row>
    <row r="72" spans="1:3">
      <c r="A72" s="77" t="s">
        <v>86</v>
      </c>
      <c r="B72" s="83">
        <f>'10'!I15+'11'!I5+'12'!I8+'14'!I9+'15'!I10+'18'!I14+'19'!I20+'20'!I4+'21'!I10+'22'!I11</f>
        <v>-0.47940499999981512</v>
      </c>
      <c r="C72" s="84" t="s">
        <v>265</v>
      </c>
    </row>
    <row r="73" spans="1:3">
      <c r="A73" s="77" t="s">
        <v>130</v>
      </c>
      <c r="B73" s="83">
        <f>'13'!I10+'16'!I20+'17'!I7+'19'!I17+'20'!I9+'21'!I20</f>
        <v>0.24631499999969719</v>
      </c>
      <c r="C73" s="84" t="s">
        <v>241</v>
      </c>
    </row>
    <row r="74" spans="1:3">
      <c r="A74" s="77" t="s">
        <v>172</v>
      </c>
      <c r="B74" s="83">
        <f>'16'!I13</f>
        <v>1.8015000000000327</v>
      </c>
      <c r="C74" s="84">
        <v>16</v>
      </c>
    </row>
    <row r="75" spans="1:3">
      <c r="A75" s="77" t="s">
        <v>41</v>
      </c>
      <c r="B75" s="83">
        <f>'6'!I6+'7'!I14+'8N'!I8+'9'!I14+'16'!I18</f>
        <v>-2.4889999999686552E-2</v>
      </c>
      <c r="C75" s="84" t="s">
        <v>179</v>
      </c>
    </row>
    <row r="76" spans="1:3">
      <c r="A76" s="77" t="s">
        <v>211</v>
      </c>
      <c r="B76" s="83">
        <f>'19'!I23</f>
        <v>-6.9400000000030104E-2</v>
      </c>
      <c r="C76" s="84">
        <v>19</v>
      </c>
    </row>
    <row r="77" spans="1:3">
      <c r="A77" s="77" t="s">
        <v>227</v>
      </c>
      <c r="B77" s="83">
        <f>'21'!I13</f>
        <v>0.10280000000011569</v>
      </c>
      <c r="C77" s="84">
        <v>21</v>
      </c>
    </row>
    <row r="78" spans="1:3">
      <c r="A78" s="77" t="s">
        <v>173</v>
      </c>
      <c r="B78" s="83">
        <f>'16'!I14+'18'!I4</f>
        <v>0.20275000000000887</v>
      </c>
      <c r="C78" s="84" t="s">
        <v>202</v>
      </c>
    </row>
    <row r="79" spans="1:3">
      <c r="A79" s="77" t="s">
        <v>186</v>
      </c>
      <c r="B79" s="83">
        <f>'17'!I15</f>
        <v>4.0585000000000946</v>
      </c>
      <c r="C79" s="84">
        <v>17</v>
      </c>
    </row>
    <row r="80" spans="1:3">
      <c r="A80" s="77" t="s">
        <v>13</v>
      </c>
      <c r="B80" s="83">
        <f>'2'!I7</f>
        <v>-34.032650000000103</v>
      </c>
      <c r="C80" s="84">
        <v>2</v>
      </c>
    </row>
    <row r="81" spans="1:3">
      <c r="A81" s="77" t="s">
        <v>15</v>
      </c>
      <c r="B81" s="83">
        <f>'2'!I10+'4'!I14+'8N'!I5+'11'!I4+'13'!I17+'14'!I14</f>
        <v>13.000520000001302</v>
      </c>
      <c r="C81" s="84" t="s">
        <v>152</v>
      </c>
    </row>
    <row r="82" spans="1:3">
      <c r="A82" s="77" t="s">
        <v>198</v>
      </c>
      <c r="B82" s="83">
        <f>'18'!I18+'20'!I5+'21'!I19</f>
        <v>-0.31400000000024875</v>
      </c>
      <c r="C82" s="84" t="s">
        <v>242</v>
      </c>
    </row>
    <row r="83" spans="1:3">
      <c r="A83" s="74" t="s">
        <v>256</v>
      </c>
      <c r="B83" s="83">
        <f>'22'!I18</f>
        <v>1.8135999999999513</v>
      </c>
      <c r="C83" s="84">
        <v>22</v>
      </c>
    </row>
    <row r="84" spans="1:3">
      <c r="A84" s="77" t="s">
        <v>125</v>
      </c>
      <c r="B84" s="83">
        <f>'12'!I17+'13'!I15</f>
        <v>4.6262500000000557</v>
      </c>
      <c r="C84" s="84" t="s">
        <v>140</v>
      </c>
    </row>
    <row r="85" spans="1:3">
      <c r="A85" s="77" t="s">
        <v>11</v>
      </c>
      <c r="B85" s="83">
        <f>'2'!I5+'7'!I10+'16'!I9+'19'!I16</f>
        <v>-0.17507000000028938</v>
      </c>
      <c r="C85" s="84" t="s">
        <v>215</v>
      </c>
    </row>
    <row r="86" spans="1:3">
      <c r="A86" s="77" t="s">
        <v>174</v>
      </c>
      <c r="B86" s="83">
        <f>'16'!I16</f>
        <v>66.878499999999974</v>
      </c>
      <c r="C86" s="84">
        <v>16</v>
      </c>
    </row>
    <row r="87" spans="1:3">
      <c r="A87" s="77" t="s">
        <v>255</v>
      </c>
      <c r="B87" s="83">
        <f>'22'!I14</f>
        <v>2.8800000000046566E-3</v>
      </c>
      <c r="C87" s="84">
        <v>22</v>
      </c>
    </row>
    <row r="88" spans="1:3">
      <c r="A88" s="77" t="s">
        <v>208</v>
      </c>
      <c r="B88" s="83">
        <f>'19'!I18</f>
        <v>-0.45320000000003802</v>
      </c>
      <c r="C88" s="84">
        <v>19</v>
      </c>
    </row>
    <row r="89" spans="1:3">
      <c r="A89" s="77" t="s">
        <v>82</v>
      </c>
      <c r="B89" s="83">
        <f>'10'!I7</f>
        <v>-0.16159999999996444</v>
      </c>
      <c r="C89" s="84">
        <v>10</v>
      </c>
    </row>
    <row r="90" spans="1:3">
      <c r="A90" s="77" t="s">
        <v>225</v>
      </c>
      <c r="B90" s="83">
        <f>'21'!I11</f>
        <v>0.47904999999997244</v>
      </c>
      <c r="C90" s="84">
        <v>21</v>
      </c>
    </row>
    <row r="91" spans="1:3">
      <c r="A91" s="74" t="s">
        <v>252</v>
      </c>
      <c r="B91" s="83">
        <f>'22'!I10</f>
        <v>-0.23647999999997182</v>
      </c>
      <c r="C91" s="84">
        <v>22</v>
      </c>
    </row>
    <row r="92" spans="1:3">
      <c r="A92" s="77" t="s">
        <v>228</v>
      </c>
      <c r="B92" s="83">
        <f>'21'!I14+'22'!I17</f>
        <v>-0.38045000000022355</v>
      </c>
      <c r="C92" s="84" t="s">
        <v>269</v>
      </c>
    </row>
    <row r="93" spans="1:3">
      <c r="A93" s="77" t="s">
        <v>223</v>
      </c>
      <c r="B93" s="83">
        <f>'21'!I7</f>
        <v>0.3831000000000131</v>
      </c>
      <c r="C93" s="84">
        <v>21</v>
      </c>
    </row>
    <row r="94" spans="1:3">
      <c r="A94" s="77" t="s">
        <v>14</v>
      </c>
      <c r="B94" s="83">
        <f>'2'!I8+'8N'!I10+'15'!I7</f>
        <v>14.660000000000082</v>
      </c>
      <c r="C94" s="84" t="s">
        <v>162</v>
      </c>
    </row>
    <row r="95" spans="1:3">
      <c r="A95" s="77" t="s">
        <v>209</v>
      </c>
      <c r="B95" s="83">
        <f>'19'!I19+'21'!I9+'22'!I16</f>
        <v>-0.4554500000000985</v>
      </c>
      <c r="C95" s="84" t="s">
        <v>268</v>
      </c>
    </row>
    <row r="96" spans="1:3">
      <c r="A96" s="77" t="s">
        <v>16</v>
      </c>
      <c r="B96" s="83">
        <f>'2'!I11+'9'!I7+'10'!I14+'10'!I25+'11'!I6+'13'!I7+'14'!I11+'18'!I17+'19'!I14+'21'!I15</f>
        <v>-0.48916999999957511</v>
      </c>
      <c r="C96" s="84" t="s">
        <v>244</v>
      </c>
    </row>
    <row r="97" spans="1:3">
      <c r="A97" s="77" t="s">
        <v>154</v>
      </c>
      <c r="B97" s="83">
        <f>'15'!I8</f>
        <v>11.473750000000109</v>
      </c>
      <c r="C97" s="84">
        <v>15</v>
      </c>
    </row>
    <row r="98" spans="1:3">
      <c r="A98" s="77" t="s">
        <v>39</v>
      </c>
      <c r="B98" s="83">
        <f>'4'!I19+'7'!I6+'10'!I17+'12'!I5+'13'!I8</f>
        <v>-158.30172499999986</v>
      </c>
      <c r="C98" s="84" t="s">
        <v>139</v>
      </c>
    </row>
    <row r="99" spans="1:3">
      <c r="A99" s="77" t="s">
        <v>74</v>
      </c>
      <c r="B99" s="83">
        <f>'9'!I10</f>
        <v>3.9024000000000001</v>
      </c>
      <c r="C99" s="84">
        <v>9</v>
      </c>
    </row>
    <row r="100" spans="1:3">
      <c r="A100" s="77" t="s">
        <v>33</v>
      </c>
      <c r="B100" s="83">
        <f>'4'!I11+'9'!I6+'13'!I6+'14'!I8+'15'!I12+'17'!I4+'18'!I7</f>
        <v>1.0112050000001318</v>
      </c>
      <c r="C100" s="84" t="s">
        <v>201</v>
      </c>
    </row>
    <row r="101" spans="1:3">
      <c r="A101" s="77" t="s">
        <v>37</v>
      </c>
      <c r="B101" s="83">
        <f>'4'!I17+'7'!I9</f>
        <v>3.7547999999999888</v>
      </c>
      <c r="C101" s="84" t="s">
        <v>54</v>
      </c>
    </row>
    <row r="102" spans="1:3">
      <c r="A102" s="77" t="s">
        <v>80</v>
      </c>
      <c r="B102" s="83">
        <f>'10'!I5</f>
        <v>247.34520000000003</v>
      </c>
      <c r="C102" s="84">
        <v>10</v>
      </c>
    </row>
    <row r="103" spans="1:3">
      <c r="A103" s="77" t="s">
        <v>31</v>
      </c>
      <c r="B103" s="83">
        <f>'4'!I9</f>
        <v>46.449749999999881</v>
      </c>
      <c r="C103" s="84">
        <v>4</v>
      </c>
    </row>
    <row r="104" spans="1:3">
      <c r="A104" s="77" t="s">
        <v>120</v>
      </c>
      <c r="B104" s="83">
        <f>'12'!I7</f>
        <v>0.29900000000000659</v>
      </c>
      <c r="C104" s="84">
        <v>12</v>
      </c>
    </row>
    <row r="105" spans="1:3">
      <c r="A105" s="77" t="s">
        <v>210</v>
      </c>
      <c r="B105" s="83">
        <f>'19'!I21+'21'!I16</f>
        <v>0.40964999999994234</v>
      </c>
      <c r="C105" s="84" t="s">
        <v>243</v>
      </c>
    </row>
    <row r="106" spans="1:3">
      <c r="A106" s="77" t="s">
        <v>232</v>
      </c>
      <c r="B106" s="83">
        <f>'21'!I26</f>
        <v>-2.8599999999869397E-2</v>
      </c>
      <c r="C106" s="84">
        <v>21</v>
      </c>
    </row>
    <row r="107" spans="1:3">
      <c r="A107" s="79" t="str">
        <f>'18'!A19</f>
        <v>фантазия1</v>
      </c>
      <c r="B107" s="83">
        <f>'18'!I19</f>
        <v>2.0164999999999509</v>
      </c>
      <c r="C107" s="84">
        <v>18</v>
      </c>
    </row>
    <row r="108" spans="1:3">
      <c r="A108" s="77" t="s">
        <v>143</v>
      </c>
      <c r="B108" s="83">
        <f>'14'!I6</f>
        <v>-0.283170000000041</v>
      </c>
      <c r="C108" s="84">
        <v>14</v>
      </c>
    </row>
    <row r="109" spans="1:3">
      <c r="A109" s="77" t="s">
        <v>55</v>
      </c>
      <c r="B109" s="83">
        <f>'8N'!I4+'9'!I13+'12'!I13+'15'!I15</f>
        <v>217.55678000000012</v>
      </c>
      <c r="C109" s="84" t="s">
        <v>163</v>
      </c>
    </row>
    <row r="110" spans="1:3">
      <c r="A110" s="77" t="s">
        <v>9</v>
      </c>
      <c r="B110" s="83">
        <f>'2'!I9</f>
        <v>-6.6703500000000417</v>
      </c>
      <c r="C110" s="84">
        <v>2</v>
      </c>
    </row>
  </sheetData>
  <sortState ref="A2:D117">
    <sortCondition ref="A2:A117"/>
  </sortState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FF0000"/>
  </sheetPr>
  <dimension ref="A1:J20"/>
  <sheetViews>
    <sheetView workbookViewId="0">
      <selection activeCell="H9" sqref="H9"/>
    </sheetView>
  </sheetViews>
  <sheetFormatPr defaultRowHeight="15"/>
  <cols>
    <col min="1" max="1" width="16.7109375" customWidth="1"/>
    <col min="2" max="2" width="15.7109375" customWidth="1"/>
    <col min="4" max="4" width="11.7109375" customWidth="1"/>
    <col min="6" max="6" width="11" customWidth="1"/>
    <col min="10" max="10" width="44" customWidth="1"/>
  </cols>
  <sheetData>
    <row r="1" spans="1:10" s="5" customFormat="1" ht="21">
      <c r="A1" s="1" t="s">
        <v>0</v>
      </c>
      <c r="B1" s="2">
        <v>41474</v>
      </c>
      <c r="C1" s="3" t="s">
        <v>1</v>
      </c>
      <c r="D1" s="4">
        <f>32.64</f>
        <v>32.64</v>
      </c>
      <c r="E1" s="5" t="s">
        <v>2</v>
      </c>
    </row>
    <row r="2" spans="1:10" s="5" customFormat="1">
      <c r="A2" s="5" t="s">
        <v>69</v>
      </c>
    </row>
    <row r="3" spans="1:10" s="8" customFormat="1" ht="45">
      <c r="A3" s="6" t="s">
        <v>3</v>
      </c>
      <c r="B3" s="7" t="s">
        <v>17</v>
      </c>
      <c r="C3" s="7" t="s">
        <v>4</v>
      </c>
      <c r="D3" s="7" t="s">
        <v>5</v>
      </c>
      <c r="E3" s="7" t="s">
        <v>19</v>
      </c>
      <c r="F3" s="6" t="s">
        <v>18</v>
      </c>
      <c r="G3" s="6" t="s">
        <v>6</v>
      </c>
      <c r="H3" s="6" t="s">
        <v>7</v>
      </c>
      <c r="I3" s="6" t="s">
        <v>8</v>
      </c>
    </row>
    <row r="4" spans="1:10" s="8" customFormat="1">
      <c r="A4" s="9" t="s">
        <v>22</v>
      </c>
      <c r="B4" s="29">
        <v>15</v>
      </c>
      <c r="C4" s="29">
        <v>88.54</v>
      </c>
      <c r="D4" s="29">
        <v>27.52</v>
      </c>
      <c r="E4" s="9">
        <f>C4*0.05</f>
        <v>4.4270000000000005</v>
      </c>
      <c r="F4" s="9">
        <f>C4+D4+E4</f>
        <v>120.48700000000001</v>
      </c>
      <c r="G4" s="15">
        <f>F4*$D$1</f>
        <v>3932.6956800000003</v>
      </c>
      <c r="H4" s="10">
        <v>3885</v>
      </c>
      <c r="I4" s="18">
        <f>-G4+H4-5</f>
        <v>-52.695680000000266</v>
      </c>
    </row>
    <row r="5" spans="1:10" s="8" customFormat="1">
      <c r="A5" s="9" t="s">
        <v>28</v>
      </c>
      <c r="B5" s="22">
        <v>1</v>
      </c>
      <c r="C5" s="22">
        <v>4.7</v>
      </c>
      <c r="D5" s="22">
        <v>1.72</v>
      </c>
      <c r="E5" s="9">
        <f t="shared" ref="E5:E11" si="0">C5*0.05</f>
        <v>0.23500000000000001</v>
      </c>
      <c r="F5" s="9">
        <f>C5+D5+E5</f>
        <v>6.6550000000000002</v>
      </c>
      <c r="G5" s="15">
        <f t="shared" ref="G5:G13" si="1">F5*$D$1</f>
        <v>217.2192</v>
      </c>
      <c r="H5" s="10">
        <v>220</v>
      </c>
      <c r="I5" s="18">
        <f t="shared" ref="I5:I13" si="2">-G5+H5</f>
        <v>2.7807999999999993</v>
      </c>
    </row>
    <row r="6" spans="1:10" s="8" customFormat="1">
      <c r="A6" s="9" t="s">
        <v>33</v>
      </c>
      <c r="B6" s="24">
        <v>1</v>
      </c>
      <c r="C6" s="24">
        <v>5.95</v>
      </c>
      <c r="D6" s="22">
        <v>1.72</v>
      </c>
      <c r="E6" s="9">
        <f t="shared" si="0"/>
        <v>0.29750000000000004</v>
      </c>
      <c r="F6" s="9">
        <f t="shared" ref="F6:F13" si="3">C6+D6+E6</f>
        <v>7.9675000000000002</v>
      </c>
      <c r="G6" s="15">
        <f t="shared" si="1"/>
        <v>260.05920000000003</v>
      </c>
      <c r="H6" s="10">
        <v>263</v>
      </c>
      <c r="I6" s="18">
        <f t="shared" si="2"/>
        <v>2.9407999999999674</v>
      </c>
    </row>
    <row r="7" spans="1:10" s="8" customFormat="1">
      <c r="A7" s="9" t="s">
        <v>16</v>
      </c>
      <c r="B7" s="22">
        <v>4</v>
      </c>
      <c r="C7" s="22">
        <v>25.05</v>
      </c>
      <c r="D7" s="22">
        <v>12.04</v>
      </c>
      <c r="E7" s="9">
        <f t="shared" si="0"/>
        <v>1.2525000000000002</v>
      </c>
      <c r="F7" s="9">
        <f t="shared" si="3"/>
        <v>38.342500000000001</v>
      </c>
      <c r="G7" s="15">
        <f t="shared" si="1"/>
        <v>1251.4992</v>
      </c>
      <c r="H7" s="10">
        <v>1296</v>
      </c>
      <c r="I7" s="18">
        <f t="shared" si="2"/>
        <v>44.500800000000027</v>
      </c>
    </row>
    <row r="8" spans="1:10" s="8" customFormat="1">
      <c r="A8" s="9" t="s">
        <v>53</v>
      </c>
      <c r="B8" s="24">
        <v>1</v>
      </c>
      <c r="C8" s="24">
        <v>3.15</v>
      </c>
      <c r="D8" s="22">
        <v>1.72</v>
      </c>
      <c r="E8" s="9">
        <f t="shared" si="0"/>
        <v>0.1575</v>
      </c>
      <c r="F8" s="9">
        <f t="shared" si="3"/>
        <v>5.0274999999999999</v>
      </c>
      <c r="G8" s="15">
        <f t="shared" si="1"/>
        <v>164.0976</v>
      </c>
      <c r="H8" s="10">
        <v>166</v>
      </c>
      <c r="I8" s="18">
        <f t="shared" si="2"/>
        <v>1.9024000000000001</v>
      </c>
    </row>
    <row r="9" spans="1:10" s="8" customFormat="1">
      <c r="A9" s="9" t="s">
        <v>70</v>
      </c>
      <c r="B9" s="24">
        <v>2</v>
      </c>
      <c r="C9" s="24">
        <v>12.5</v>
      </c>
      <c r="D9" s="22">
        <v>8.6</v>
      </c>
      <c r="E9" s="9">
        <f t="shared" si="0"/>
        <v>0.625</v>
      </c>
      <c r="F9" s="9">
        <f>C9+D9+E9</f>
        <v>21.725000000000001</v>
      </c>
      <c r="G9" s="15">
        <f t="shared" si="1"/>
        <v>709.10400000000004</v>
      </c>
      <c r="H9" s="10">
        <f>718+9</f>
        <v>727</v>
      </c>
      <c r="I9" s="18">
        <f t="shared" si="2"/>
        <v>17.895999999999958</v>
      </c>
    </row>
    <row r="10" spans="1:10" s="8" customFormat="1">
      <c r="A10" s="9" t="s">
        <v>71</v>
      </c>
      <c r="B10" s="22">
        <v>1</v>
      </c>
      <c r="C10" s="22">
        <v>3.15</v>
      </c>
      <c r="D10" s="22">
        <v>1.72</v>
      </c>
      <c r="E10" s="9">
        <f t="shared" si="0"/>
        <v>0.1575</v>
      </c>
      <c r="F10" s="9">
        <f t="shared" si="3"/>
        <v>5.0274999999999999</v>
      </c>
      <c r="G10" s="15">
        <f t="shared" si="1"/>
        <v>164.0976</v>
      </c>
      <c r="H10" s="10">
        <f>166+2</f>
        <v>168</v>
      </c>
      <c r="I10" s="18">
        <f t="shared" si="2"/>
        <v>3.9024000000000001</v>
      </c>
    </row>
    <row r="11" spans="1:10" s="8" customFormat="1">
      <c r="A11" s="9" t="s">
        <v>23</v>
      </c>
      <c r="B11" s="22">
        <v>2</v>
      </c>
      <c r="C11" s="22">
        <v>9.9</v>
      </c>
      <c r="D11" s="22">
        <v>3.44</v>
      </c>
      <c r="E11" s="9">
        <f t="shared" si="0"/>
        <v>0.49500000000000005</v>
      </c>
      <c r="F11" s="9">
        <f t="shared" si="3"/>
        <v>13.834999999999999</v>
      </c>
      <c r="G11" s="15">
        <f>F11*$D$1</f>
        <v>451.57439999999997</v>
      </c>
      <c r="H11" s="10">
        <v>468</v>
      </c>
      <c r="I11" s="18">
        <f t="shared" si="2"/>
        <v>16.425600000000031</v>
      </c>
    </row>
    <row r="12" spans="1:10" s="8" customFormat="1" ht="30">
      <c r="A12" s="9" t="s">
        <v>72</v>
      </c>
      <c r="B12" s="22">
        <v>2</v>
      </c>
      <c r="C12" s="22">
        <v>9.25</v>
      </c>
      <c r="D12" s="22">
        <v>3.44</v>
      </c>
      <c r="E12" s="9">
        <f>D12*0.05</f>
        <v>0.17200000000000001</v>
      </c>
      <c r="F12" s="9">
        <f t="shared" si="3"/>
        <v>12.862</v>
      </c>
      <c r="G12" s="15">
        <f t="shared" si="1"/>
        <v>419.81567999999999</v>
      </c>
      <c r="H12" s="10">
        <f>407+22</f>
        <v>429</v>
      </c>
      <c r="I12" s="18">
        <f>-G12+H12+6</f>
        <v>15.184320000000014</v>
      </c>
      <c r="J12" s="42" t="s">
        <v>91</v>
      </c>
    </row>
    <row r="13" spans="1:10" s="8" customFormat="1">
      <c r="A13" s="9" t="s">
        <v>55</v>
      </c>
      <c r="B13" s="22">
        <v>3</v>
      </c>
      <c r="C13" s="22">
        <v>52.5</v>
      </c>
      <c r="D13" s="22">
        <v>5.16</v>
      </c>
      <c r="E13" s="9">
        <f>D13*0.05</f>
        <v>0.25800000000000001</v>
      </c>
      <c r="F13" s="9">
        <f t="shared" si="3"/>
        <v>57.917999999999999</v>
      </c>
      <c r="G13" s="15">
        <f t="shared" si="1"/>
        <v>1890.44352</v>
      </c>
      <c r="H13" s="10">
        <f>2000+101</f>
        <v>2101</v>
      </c>
      <c r="I13" s="18">
        <f t="shared" si="2"/>
        <v>210.55647999999997</v>
      </c>
    </row>
    <row r="14" spans="1:10" s="8" customFormat="1">
      <c r="A14" s="9" t="s">
        <v>41</v>
      </c>
      <c r="B14" s="22">
        <v>6</v>
      </c>
      <c r="C14" s="22">
        <v>31.5</v>
      </c>
      <c r="D14" s="22">
        <v>10.32</v>
      </c>
      <c r="E14" s="9">
        <f>D14*0.05</f>
        <v>0.51600000000000001</v>
      </c>
      <c r="F14" s="9">
        <f t="shared" ref="F14" si="4">C14+D14+E14</f>
        <v>42.335999999999999</v>
      </c>
      <c r="G14" s="15">
        <f t="shared" ref="G14" si="5">F14*$D$1</f>
        <v>1381.8470399999999</v>
      </c>
      <c r="H14" s="10">
        <f>10+1321</f>
        <v>1331</v>
      </c>
      <c r="I14" s="18">
        <f t="shared" ref="I14" si="6">-G14+H14</f>
        <v>-50.847039999999879</v>
      </c>
    </row>
    <row r="15" spans="1:10" s="5" customFormat="1">
      <c r="A15" s="11"/>
      <c r="B15" s="11"/>
      <c r="C15" s="11"/>
      <c r="D15" s="11"/>
      <c r="E15" s="11"/>
      <c r="F15" s="11"/>
      <c r="G15" s="11"/>
      <c r="H15" s="11"/>
      <c r="I15" s="11"/>
    </row>
    <row r="16" spans="1:10" s="5" customFormat="1"/>
    <row r="17" spans="1:9" s="5" customFormat="1"/>
    <row r="18" spans="1:9" s="5" customFormat="1">
      <c r="A18" s="13"/>
    </row>
    <row r="19" spans="1:9">
      <c r="A19" s="13"/>
      <c r="B19" s="5"/>
      <c r="C19" s="5"/>
      <c r="D19" s="5"/>
      <c r="E19" s="5"/>
      <c r="F19" s="5"/>
      <c r="G19" s="5"/>
      <c r="H19" s="5"/>
      <c r="I19" s="5"/>
    </row>
    <row r="20" spans="1:9">
      <c r="A20" s="13"/>
      <c r="B20" s="5"/>
      <c r="C20" s="5"/>
      <c r="D20" s="5"/>
      <c r="E20" s="5"/>
      <c r="F20" s="5"/>
      <c r="G20" s="5"/>
      <c r="H20" s="5"/>
      <c r="I20" s="5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FF0000"/>
  </sheetPr>
  <dimension ref="A1:J40"/>
  <sheetViews>
    <sheetView zoomScale="79" zoomScaleNormal="79" workbookViewId="0">
      <selection activeCell="A13" sqref="A13:XFD13"/>
    </sheetView>
  </sheetViews>
  <sheetFormatPr defaultRowHeight="15"/>
  <cols>
    <col min="1" max="1" width="25.140625" customWidth="1"/>
    <col min="2" max="2" width="19.140625" customWidth="1"/>
    <col min="3" max="3" width="11.42578125" customWidth="1"/>
    <col min="4" max="4" width="11.7109375" customWidth="1"/>
    <col min="6" max="6" width="11" customWidth="1"/>
    <col min="8" max="8" width="10.28515625" customWidth="1"/>
    <col min="9" max="9" width="11.42578125" customWidth="1"/>
    <col min="10" max="10" width="57.140625" customWidth="1"/>
  </cols>
  <sheetData>
    <row r="1" spans="1:10" s="5" customFormat="1" ht="21">
      <c r="A1" s="1" t="s">
        <v>0</v>
      </c>
      <c r="B1" s="2">
        <v>41495</v>
      </c>
      <c r="C1" s="3" t="s">
        <v>1</v>
      </c>
      <c r="D1" s="4">
        <v>33.04</v>
      </c>
      <c r="E1" s="5" t="s">
        <v>2</v>
      </c>
    </row>
    <row r="2" spans="1:10" s="5" customFormat="1">
      <c r="A2" s="5" t="s">
        <v>79</v>
      </c>
    </row>
    <row r="3" spans="1:10" s="8" customFormat="1" ht="45">
      <c r="A3" s="6" t="s">
        <v>3</v>
      </c>
      <c r="B3" s="7" t="s">
        <v>17</v>
      </c>
      <c r="C3" s="7" t="s">
        <v>4</v>
      </c>
      <c r="D3" s="7" t="s">
        <v>5</v>
      </c>
      <c r="E3" s="7" t="s">
        <v>19</v>
      </c>
      <c r="F3" s="6" t="s">
        <v>18</v>
      </c>
      <c r="G3" s="6" t="s">
        <v>6</v>
      </c>
      <c r="H3" s="6" t="s">
        <v>7</v>
      </c>
      <c r="I3" s="6" t="s">
        <v>95</v>
      </c>
    </row>
    <row r="4" spans="1:10" s="8" customFormat="1">
      <c r="A4" s="9" t="s">
        <v>22</v>
      </c>
      <c r="B4" s="29">
        <v>4</v>
      </c>
      <c r="C4" s="29">
        <v>16.100000000000001</v>
      </c>
      <c r="D4" s="29">
        <v>5.6</v>
      </c>
      <c r="E4" s="9">
        <f>C4*0.05</f>
        <v>0.80500000000000016</v>
      </c>
      <c r="F4" s="9">
        <f>C4+D4+E4</f>
        <v>22.505000000000003</v>
      </c>
      <c r="G4" s="15">
        <f>F4*$D$1</f>
        <v>743.56520000000012</v>
      </c>
      <c r="H4" s="10"/>
      <c r="I4" s="18">
        <f>-G4+H4</f>
        <v>-743.56520000000012</v>
      </c>
      <c r="J4" s="40" t="s">
        <v>89</v>
      </c>
    </row>
    <row r="5" spans="1:10" s="8" customFormat="1">
      <c r="A5" s="9" t="s">
        <v>80</v>
      </c>
      <c r="B5" s="22">
        <v>2</v>
      </c>
      <c r="C5" s="22">
        <v>10.9</v>
      </c>
      <c r="D5" s="22">
        <v>2.8</v>
      </c>
      <c r="E5" s="9">
        <f t="shared" ref="E5:E17" si="0">C5*0.05</f>
        <v>0.54500000000000004</v>
      </c>
      <c r="F5" s="9">
        <f>C5+D5+E5</f>
        <v>14.244999999999999</v>
      </c>
      <c r="G5" s="15">
        <f t="shared" ref="G5:G19" si="1">F5*$D$1</f>
        <v>470.65479999999997</v>
      </c>
      <c r="H5" s="10">
        <v>718</v>
      </c>
      <c r="I5" s="18">
        <f t="shared" ref="I5:I19" si="2">-G5+H5</f>
        <v>247.34520000000003</v>
      </c>
    </row>
    <row r="6" spans="1:10" s="8" customFormat="1">
      <c r="A6" s="9" t="s">
        <v>81</v>
      </c>
      <c r="B6" s="24">
        <v>4</v>
      </c>
      <c r="C6" s="24">
        <v>11.95</v>
      </c>
      <c r="D6" s="22">
        <v>4.2</v>
      </c>
      <c r="E6" s="9">
        <f t="shared" si="0"/>
        <v>0.59750000000000003</v>
      </c>
      <c r="F6" s="9">
        <f t="shared" ref="F6:F19" si="3">C6+D6+E6</f>
        <v>16.747499999999999</v>
      </c>
      <c r="G6" s="15">
        <f t="shared" si="1"/>
        <v>553.33739999999989</v>
      </c>
      <c r="H6" s="10">
        <v>563</v>
      </c>
      <c r="I6" s="18">
        <f t="shared" si="2"/>
        <v>9.6626000000001113</v>
      </c>
    </row>
    <row r="7" spans="1:10" s="8" customFormat="1">
      <c r="A7" s="9" t="s">
        <v>82</v>
      </c>
      <c r="B7" s="22">
        <v>1</v>
      </c>
      <c r="C7" s="22">
        <v>6.8</v>
      </c>
      <c r="D7" s="22">
        <v>1.4</v>
      </c>
      <c r="E7" s="9">
        <f t="shared" si="0"/>
        <v>0.34</v>
      </c>
      <c r="F7" s="9">
        <f t="shared" si="3"/>
        <v>8.5399999999999991</v>
      </c>
      <c r="G7" s="15">
        <f t="shared" si="1"/>
        <v>282.16159999999996</v>
      </c>
      <c r="H7" s="10">
        <v>287</v>
      </c>
      <c r="I7" s="18">
        <f>-G7+H7-5</f>
        <v>-0.16159999999996444</v>
      </c>
      <c r="J7" s="8" t="s">
        <v>104</v>
      </c>
    </row>
    <row r="8" spans="1:10" s="8" customFormat="1">
      <c r="A8" s="9" t="s">
        <v>83</v>
      </c>
      <c r="B8" s="22">
        <v>6</v>
      </c>
      <c r="C8" s="22">
        <v>22.97</v>
      </c>
      <c r="D8" s="22">
        <v>8.4</v>
      </c>
      <c r="E8" s="9">
        <f t="shared" ref="E8:E13" si="4">C8*0.05</f>
        <v>1.1485000000000001</v>
      </c>
      <c r="F8" s="9">
        <f t="shared" ref="F8:F13" si="5">C8+D8+E8</f>
        <v>32.518499999999996</v>
      </c>
      <c r="G8" s="15">
        <f t="shared" ref="G8:G13" si="6">F8*$D$1</f>
        <v>1074.4112399999999</v>
      </c>
      <c r="H8" s="10">
        <v>1093</v>
      </c>
      <c r="I8" s="18">
        <f t="shared" ref="I8:I13" si="7">-G8+H8</f>
        <v>18.588760000000093</v>
      </c>
    </row>
    <row r="9" spans="1:10" s="8" customFormat="1">
      <c r="A9" s="9" t="s">
        <v>24</v>
      </c>
      <c r="B9" s="22">
        <v>1</v>
      </c>
      <c r="C9" s="22">
        <v>5.45</v>
      </c>
      <c r="D9" s="22">
        <v>1.4</v>
      </c>
      <c r="E9" s="9">
        <f t="shared" si="4"/>
        <v>0.27250000000000002</v>
      </c>
      <c r="F9" s="9">
        <f t="shared" si="5"/>
        <v>7.1224999999999996</v>
      </c>
      <c r="G9" s="15">
        <f t="shared" si="6"/>
        <v>235.32739999999998</v>
      </c>
      <c r="H9" s="10">
        <v>220</v>
      </c>
      <c r="I9" s="18">
        <f t="shared" si="7"/>
        <v>-15.327399999999983</v>
      </c>
    </row>
    <row r="10" spans="1:10" s="8" customFormat="1">
      <c r="A10" s="9" t="s">
        <v>28</v>
      </c>
      <c r="B10" s="22">
        <v>1</v>
      </c>
      <c r="C10" s="22">
        <v>5.75</v>
      </c>
      <c r="D10" s="22">
        <v>1.4</v>
      </c>
      <c r="E10" s="9">
        <f t="shared" si="4"/>
        <v>0.28750000000000003</v>
      </c>
      <c r="F10" s="9">
        <f t="shared" si="5"/>
        <v>7.4375</v>
      </c>
      <c r="G10" s="15">
        <f t="shared" si="6"/>
        <v>245.73499999999999</v>
      </c>
      <c r="H10" s="10">
        <v>254</v>
      </c>
      <c r="I10" s="18">
        <f t="shared" si="7"/>
        <v>8.2650000000000148</v>
      </c>
    </row>
    <row r="11" spans="1:10" s="8" customFormat="1">
      <c r="A11" s="9" t="s">
        <v>23</v>
      </c>
      <c r="B11" s="22">
        <v>6</v>
      </c>
      <c r="C11" s="22">
        <v>14.76</v>
      </c>
      <c r="D11" s="22">
        <v>8.4</v>
      </c>
      <c r="E11" s="9">
        <f t="shared" si="4"/>
        <v>0.73799999999999999</v>
      </c>
      <c r="F11" s="9">
        <f t="shared" si="5"/>
        <v>23.898</v>
      </c>
      <c r="G11" s="15">
        <f t="shared" si="6"/>
        <v>789.58992000000001</v>
      </c>
      <c r="H11" s="10">
        <v>803</v>
      </c>
      <c r="I11" s="18">
        <f t="shared" si="7"/>
        <v>13.410079999999994</v>
      </c>
    </row>
    <row r="12" spans="1:10" s="8" customFormat="1">
      <c r="A12" s="9" t="s">
        <v>84</v>
      </c>
      <c r="B12" s="22">
        <v>4</v>
      </c>
      <c r="C12" s="22">
        <v>17.05</v>
      </c>
      <c r="D12" s="22">
        <v>7</v>
      </c>
      <c r="E12" s="9">
        <f t="shared" si="4"/>
        <v>0.85250000000000004</v>
      </c>
      <c r="F12" s="9">
        <f t="shared" si="5"/>
        <v>24.9025</v>
      </c>
      <c r="G12" s="15">
        <f t="shared" si="6"/>
        <v>822.77859999999998</v>
      </c>
      <c r="H12" s="10">
        <v>900</v>
      </c>
      <c r="I12" s="18">
        <f t="shared" si="7"/>
        <v>77.221400000000017</v>
      </c>
    </row>
    <row r="13" spans="1:10" s="8" customFormat="1">
      <c r="A13" s="9" t="s">
        <v>85</v>
      </c>
      <c r="B13" s="22">
        <v>1</v>
      </c>
      <c r="C13" s="22">
        <v>4.7</v>
      </c>
      <c r="D13" s="22">
        <v>1.4</v>
      </c>
      <c r="E13" s="9">
        <f t="shared" si="4"/>
        <v>0.23500000000000001</v>
      </c>
      <c r="F13" s="9">
        <f t="shared" si="5"/>
        <v>6.335</v>
      </c>
      <c r="G13" s="15">
        <f t="shared" si="6"/>
        <v>209.30840000000001</v>
      </c>
      <c r="H13" s="41">
        <f>100+127</f>
        <v>227</v>
      </c>
      <c r="I13" s="18">
        <f t="shared" si="7"/>
        <v>17.691599999999994</v>
      </c>
    </row>
    <row r="14" spans="1:10" s="8" customFormat="1">
      <c r="A14" s="9" t="s">
        <v>16</v>
      </c>
      <c r="B14" s="24">
        <v>5</v>
      </c>
      <c r="C14" s="24">
        <v>24.55</v>
      </c>
      <c r="D14" s="22">
        <v>7</v>
      </c>
      <c r="E14" s="9">
        <f t="shared" si="0"/>
        <v>1.2275</v>
      </c>
      <c r="F14" s="9">
        <f t="shared" si="3"/>
        <v>32.777500000000003</v>
      </c>
      <c r="G14" s="15">
        <f t="shared" si="1"/>
        <v>1082.9686000000002</v>
      </c>
      <c r="H14" s="10">
        <v>1289</v>
      </c>
      <c r="I14" s="18">
        <f t="shared" si="2"/>
        <v>206.03139999999985</v>
      </c>
    </row>
    <row r="15" spans="1:10" s="8" customFormat="1">
      <c r="A15" s="9" t="s">
        <v>86</v>
      </c>
      <c r="B15" s="24">
        <v>3</v>
      </c>
      <c r="C15" s="24">
        <v>12.6</v>
      </c>
      <c r="D15" s="22">
        <v>4.2</v>
      </c>
      <c r="E15" s="9">
        <f t="shared" si="0"/>
        <v>0.63</v>
      </c>
      <c r="F15" s="9">
        <f>C15+D15+E15</f>
        <v>17.43</v>
      </c>
      <c r="G15" s="15">
        <f t="shared" si="1"/>
        <v>575.88720000000001</v>
      </c>
      <c r="H15" s="10">
        <f>1133+10</f>
        <v>1143</v>
      </c>
      <c r="I15" s="18">
        <f t="shared" si="2"/>
        <v>567.11279999999999</v>
      </c>
    </row>
    <row r="16" spans="1:10" s="8" customFormat="1">
      <c r="A16" s="9" t="s">
        <v>21</v>
      </c>
      <c r="B16" s="22">
        <v>1</v>
      </c>
      <c r="C16" s="22">
        <v>5.45</v>
      </c>
      <c r="D16" s="22">
        <v>1.4</v>
      </c>
      <c r="E16" s="9">
        <f t="shared" si="0"/>
        <v>0.27250000000000002</v>
      </c>
      <c r="F16" s="9">
        <f t="shared" si="3"/>
        <v>7.1224999999999996</v>
      </c>
      <c r="G16" s="15">
        <f t="shared" si="1"/>
        <v>235.32739999999998</v>
      </c>
      <c r="H16" s="10">
        <v>239</v>
      </c>
      <c r="I16" s="18">
        <f t="shared" si="2"/>
        <v>3.672600000000017</v>
      </c>
    </row>
    <row r="17" spans="1:9" s="8" customFormat="1">
      <c r="A17" s="9" t="s">
        <v>39</v>
      </c>
      <c r="B17" s="22">
        <v>4</v>
      </c>
      <c r="C17" s="22">
        <v>13.9</v>
      </c>
      <c r="D17" s="22">
        <v>4.2</v>
      </c>
      <c r="E17" s="9">
        <f t="shared" si="0"/>
        <v>0.69500000000000006</v>
      </c>
      <c r="F17" s="9">
        <f t="shared" si="3"/>
        <v>18.795000000000002</v>
      </c>
      <c r="G17" s="15">
        <f>F17*$D$1</f>
        <v>620.98680000000002</v>
      </c>
      <c r="H17" s="10">
        <v>631</v>
      </c>
      <c r="I17" s="18">
        <f t="shared" si="2"/>
        <v>10.013199999999983</v>
      </c>
    </row>
    <row r="18" spans="1:9" s="8" customFormat="1" ht="22.5" customHeight="1">
      <c r="A18" s="9" t="s">
        <v>87</v>
      </c>
      <c r="B18" s="22">
        <v>5</v>
      </c>
      <c r="C18" s="22">
        <v>27.57</v>
      </c>
      <c r="D18" s="22">
        <v>8.4</v>
      </c>
      <c r="E18" s="9">
        <f>D18*0.05</f>
        <v>0.42000000000000004</v>
      </c>
      <c r="F18" s="9">
        <f t="shared" si="3"/>
        <v>36.39</v>
      </c>
      <c r="G18" s="15">
        <f t="shared" si="1"/>
        <v>1202.3255999999999</v>
      </c>
      <c r="H18" s="10">
        <f>1223+47</f>
        <v>1270</v>
      </c>
      <c r="I18" s="18">
        <f t="shared" si="2"/>
        <v>67.674400000000105</v>
      </c>
    </row>
    <row r="19" spans="1:9" s="8" customFormat="1">
      <c r="A19" s="9" t="s">
        <v>88</v>
      </c>
      <c r="B19" s="22">
        <v>3</v>
      </c>
      <c r="C19" s="22">
        <v>21</v>
      </c>
      <c r="D19" s="22">
        <v>4.2</v>
      </c>
      <c r="E19" s="9">
        <f>D19*0.05</f>
        <v>0.21000000000000002</v>
      </c>
      <c r="F19" s="9">
        <f t="shared" si="3"/>
        <v>25.41</v>
      </c>
      <c r="G19" s="15">
        <f t="shared" si="1"/>
        <v>839.54639999999995</v>
      </c>
      <c r="H19" s="10">
        <v>1136</v>
      </c>
      <c r="I19" s="18">
        <f t="shared" si="2"/>
        <v>296.45360000000005</v>
      </c>
    </row>
    <row r="20" spans="1:9" s="5" customFormat="1">
      <c r="A20" s="11"/>
      <c r="B20" s="11"/>
      <c r="C20" s="11"/>
      <c r="D20" s="11"/>
      <c r="E20" s="11"/>
      <c r="F20" s="11"/>
      <c r="G20" s="11"/>
      <c r="H20" s="11"/>
      <c r="I20" s="11"/>
    </row>
    <row r="21" spans="1:9" s="5" customFormat="1"/>
    <row r="22" spans="1:9" s="5" customFormat="1">
      <c r="A22" s="13" t="s">
        <v>93</v>
      </c>
    </row>
    <row r="23" spans="1:9" s="5" customFormat="1">
      <c r="A23" s="13" t="s">
        <v>94</v>
      </c>
    </row>
    <row r="24" spans="1:9">
      <c r="B24" s="5"/>
      <c r="C24" s="5"/>
      <c r="D24" s="5"/>
      <c r="E24" s="5"/>
      <c r="F24" s="5"/>
      <c r="G24" s="5"/>
      <c r="H24" s="5"/>
      <c r="I24" s="5"/>
    </row>
    <row r="25" spans="1:9">
      <c r="A25" s="9" t="s">
        <v>16</v>
      </c>
      <c r="B25" s="12">
        <v>1</v>
      </c>
      <c r="C25" s="12">
        <v>4.75</v>
      </c>
      <c r="D25" s="12">
        <v>1.4</v>
      </c>
      <c r="E25" s="12">
        <f>C25*0.05</f>
        <v>0.23750000000000002</v>
      </c>
      <c r="F25" s="12">
        <f>C25+D25+E25</f>
        <v>6.3875000000000002</v>
      </c>
      <c r="G25" s="15">
        <f>F25*33.24</f>
        <v>212.32050000000001</v>
      </c>
      <c r="H25" s="12"/>
      <c r="I25" s="18">
        <f>-G25+H25</f>
        <v>-212.32050000000001</v>
      </c>
    </row>
    <row r="26" spans="1:9">
      <c r="A26" s="9" t="s">
        <v>72</v>
      </c>
      <c r="B26" s="23">
        <v>2</v>
      </c>
      <c r="C26" s="23">
        <v>13.6</v>
      </c>
      <c r="D26" s="23">
        <v>2.8</v>
      </c>
      <c r="E26" s="12">
        <f t="shared" ref="E26:E28" si="8">C26*0.05</f>
        <v>0.68</v>
      </c>
      <c r="F26" s="12">
        <f t="shared" ref="F26:F27" si="9">C26+D26+E26</f>
        <v>17.079999999999998</v>
      </c>
      <c r="G26" s="15">
        <f t="shared" ref="G26:G28" si="10">F26*33.24</f>
        <v>567.73919999999998</v>
      </c>
      <c r="H26" s="12">
        <f>514</f>
        <v>514</v>
      </c>
      <c r="I26" s="18">
        <f t="shared" ref="I26:I28" si="11">-G26+H26</f>
        <v>-53.739199999999983</v>
      </c>
    </row>
    <row r="27" spans="1:9">
      <c r="A27" s="9" t="s">
        <v>88</v>
      </c>
      <c r="B27" s="23">
        <v>1</v>
      </c>
      <c r="C27" s="23">
        <v>4</v>
      </c>
      <c r="D27" s="23">
        <v>1.4</v>
      </c>
      <c r="E27" s="12">
        <f t="shared" si="8"/>
        <v>0.2</v>
      </c>
      <c r="F27" s="12">
        <f t="shared" si="9"/>
        <v>5.6000000000000005</v>
      </c>
      <c r="G27" s="15">
        <f t="shared" si="10"/>
        <v>186.14400000000003</v>
      </c>
      <c r="H27" s="12"/>
      <c r="I27" s="18">
        <f t="shared" si="11"/>
        <v>-186.14400000000003</v>
      </c>
    </row>
    <row r="28" spans="1:9">
      <c r="A28" s="9" t="s">
        <v>102</v>
      </c>
      <c r="B28" s="23">
        <v>1</v>
      </c>
      <c r="C28" s="23">
        <v>9.9499999999999993</v>
      </c>
      <c r="D28" s="23">
        <v>1.4</v>
      </c>
      <c r="E28" s="12">
        <f t="shared" si="8"/>
        <v>0.4975</v>
      </c>
      <c r="F28" s="12">
        <f>C28+D28+E28</f>
        <v>11.8475</v>
      </c>
      <c r="G28" s="15">
        <f t="shared" si="10"/>
        <v>393.8109</v>
      </c>
      <c r="H28" s="12">
        <v>394</v>
      </c>
      <c r="I28" s="18">
        <f t="shared" si="11"/>
        <v>0.18909999999999627</v>
      </c>
    </row>
    <row r="30" spans="1:9" ht="46.5">
      <c r="A30" s="45" t="s">
        <v>96</v>
      </c>
    </row>
    <row r="31" spans="1:9">
      <c r="A31" s="44" t="s">
        <v>80</v>
      </c>
    </row>
    <row r="32" spans="1:9">
      <c r="A32" s="12" t="s">
        <v>97</v>
      </c>
    </row>
    <row r="33" spans="1:1">
      <c r="A33" s="44" t="s">
        <v>16</v>
      </c>
    </row>
    <row r="34" spans="1:1">
      <c r="A34" s="12" t="s">
        <v>98</v>
      </c>
    </row>
    <row r="35" spans="1:1">
      <c r="A35" s="44" t="s">
        <v>86</v>
      </c>
    </row>
    <row r="36" spans="1:1">
      <c r="A36" s="12" t="s">
        <v>99</v>
      </c>
    </row>
    <row r="37" spans="1:1">
      <c r="A37" s="12" t="s">
        <v>100</v>
      </c>
    </row>
    <row r="38" spans="1:1">
      <c r="A38" s="44" t="s">
        <v>88</v>
      </c>
    </row>
    <row r="39" spans="1:1">
      <c r="A39" s="12" t="s">
        <v>101</v>
      </c>
    </row>
    <row r="40" spans="1:1">
      <c r="A40" s="12" t="s">
        <v>98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rgb="FFFF0000"/>
  </sheetPr>
  <dimension ref="A1:J35"/>
  <sheetViews>
    <sheetView workbookViewId="0">
      <selection activeCell="H4" sqref="H4"/>
    </sheetView>
  </sheetViews>
  <sheetFormatPr defaultRowHeight="15"/>
  <cols>
    <col min="1" max="1" width="13" customWidth="1"/>
    <col min="2" max="2" width="15.28515625" bestFit="1" customWidth="1"/>
    <col min="4" max="4" width="10.7109375" customWidth="1"/>
    <col min="10" max="10" width="25.85546875" customWidth="1"/>
  </cols>
  <sheetData>
    <row r="1" spans="1:10" s="5" customFormat="1" ht="21">
      <c r="A1" s="1" t="s">
        <v>0</v>
      </c>
      <c r="B1" s="2">
        <v>41530</v>
      </c>
      <c r="C1" s="3" t="s">
        <v>1</v>
      </c>
      <c r="D1" s="4">
        <v>34.549999999999997</v>
      </c>
      <c r="E1" s="5" t="s">
        <v>2</v>
      </c>
    </row>
    <row r="2" spans="1:10" s="5" customFormat="1">
      <c r="A2" s="5" t="s">
        <v>105</v>
      </c>
    </row>
    <row r="3" spans="1:10" s="8" customFormat="1" ht="45">
      <c r="A3" s="6" t="s">
        <v>3</v>
      </c>
      <c r="B3" s="7" t="s">
        <v>17</v>
      </c>
      <c r="C3" s="7" t="s">
        <v>4</v>
      </c>
      <c r="D3" s="7" t="s">
        <v>5</v>
      </c>
      <c r="E3" s="7" t="s">
        <v>19</v>
      </c>
      <c r="F3" s="6" t="s">
        <v>18</v>
      </c>
      <c r="G3" s="6" t="s">
        <v>6</v>
      </c>
      <c r="H3" s="6" t="s">
        <v>7</v>
      </c>
      <c r="I3" s="6" t="s">
        <v>95</v>
      </c>
    </row>
    <row r="4" spans="1:10" s="8" customFormat="1">
      <c r="A4" s="9" t="s">
        <v>15</v>
      </c>
      <c r="B4" s="29">
        <v>3</v>
      </c>
      <c r="C4" s="29">
        <v>42.38</v>
      </c>
      <c r="D4" s="29">
        <v>4.2</v>
      </c>
      <c r="E4" s="9">
        <f>C4*0.05</f>
        <v>2.1190000000000002</v>
      </c>
      <c r="F4" s="9">
        <f>C4+D4+E4</f>
        <v>48.699000000000005</v>
      </c>
      <c r="G4" s="15">
        <f>F4*$D$1</f>
        <v>1682.55045</v>
      </c>
      <c r="H4" s="10">
        <f>1533+60</f>
        <v>1593</v>
      </c>
      <c r="I4" s="18">
        <f>-G4+H4</f>
        <v>-89.550449999999955</v>
      </c>
      <c r="J4" s="40"/>
    </row>
    <row r="5" spans="1:10" s="8" customFormat="1" ht="30">
      <c r="A5" s="9" t="s">
        <v>86</v>
      </c>
      <c r="B5" s="29">
        <v>2</v>
      </c>
      <c r="C5" s="29">
        <v>9.4</v>
      </c>
      <c r="D5" s="29">
        <v>2.8</v>
      </c>
      <c r="E5" s="9">
        <f>C5*0.05</f>
        <v>0.47000000000000003</v>
      </c>
      <c r="F5" s="9">
        <f>C5+D5+E5</f>
        <v>12.67</v>
      </c>
      <c r="G5" s="15">
        <f>F5*$D$1</f>
        <v>437.74849999999998</v>
      </c>
      <c r="H5" s="10"/>
      <c r="I5" s="18">
        <f>-G5+H5-129</f>
        <v>-566.74849999999992</v>
      </c>
      <c r="J5" s="42" t="s">
        <v>116</v>
      </c>
    </row>
    <row r="6" spans="1:10" s="8" customFormat="1">
      <c r="A6" s="9" t="s">
        <v>16</v>
      </c>
      <c r="B6" s="22">
        <v>6</v>
      </c>
      <c r="C6" s="22">
        <v>24.9</v>
      </c>
      <c r="D6" s="22">
        <v>8.4</v>
      </c>
      <c r="E6" s="9">
        <f t="shared" ref="E6:E16" si="0">C6*0.05</f>
        <v>1.2450000000000001</v>
      </c>
      <c r="F6" s="9">
        <f>C6+D6+E6</f>
        <v>34.544999999999995</v>
      </c>
      <c r="G6" s="15">
        <f t="shared" ref="G6:G16" si="1">F6*$D$1</f>
        <v>1193.5297499999997</v>
      </c>
      <c r="H6" s="10">
        <f>1142+43</f>
        <v>1185</v>
      </c>
      <c r="I6" s="18">
        <f t="shared" ref="I6:I16" si="2">-G6+H6</f>
        <v>-8.5297499999996944</v>
      </c>
    </row>
    <row r="7" spans="1:10" s="8" customFormat="1">
      <c r="A7" s="9" t="s">
        <v>83</v>
      </c>
      <c r="B7" s="24">
        <v>6</v>
      </c>
      <c r="C7" s="24">
        <v>23.3</v>
      </c>
      <c r="D7" s="22">
        <v>8.4</v>
      </c>
      <c r="E7" s="9">
        <f t="shared" si="0"/>
        <v>1.165</v>
      </c>
      <c r="F7" s="9">
        <f t="shared" ref="F7:F15" si="3">C7+D7+E7</f>
        <v>32.865000000000002</v>
      </c>
      <c r="G7" s="15">
        <f t="shared" si="1"/>
        <v>1135.4857500000001</v>
      </c>
      <c r="H7" s="10">
        <f>1077+40</f>
        <v>1117</v>
      </c>
      <c r="I7" s="18">
        <f t="shared" si="2"/>
        <v>-18.485750000000053</v>
      </c>
    </row>
    <row r="8" spans="1:10" s="8" customFormat="1">
      <c r="A8" s="9" t="s">
        <v>21</v>
      </c>
      <c r="B8" s="22">
        <v>10</v>
      </c>
      <c r="C8" s="22">
        <v>50.7</v>
      </c>
      <c r="D8" s="22">
        <v>14</v>
      </c>
      <c r="E8" s="9">
        <f t="shared" si="0"/>
        <v>2.5350000000000001</v>
      </c>
      <c r="F8" s="9">
        <f t="shared" si="3"/>
        <v>67.234999999999999</v>
      </c>
      <c r="G8" s="15">
        <f t="shared" si="1"/>
        <v>2322.9692499999996</v>
      </c>
      <c r="H8" s="10">
        <f>2241+90</f>
        <v>2331</v>
      </c>
      <c r="I8" s="18">
        <f>-G8+H8</f>
        <v>8.0307500000003529</v>
      </c>
    </row>
    <row r="9" spans="1:10" s="8" customFormat="1">
      <c r="A9" s="9" t="s">
        <v>46</v>
      </c>
      <c r="B9" s="22">
        <v>1</v>
      </c>
      <c r="C9" s="22">
        <v>4.7</v>
      </c>
      <c r="D9" s="22">
        <v>1.4</v>
      </c>
      <c r="E9" s="9">
        <f t="shared" si="0"/>
        <v>0.23500000000000001</v>
      </c>
      <c r="F9" s="9">
        <f t="shared" si="3"/>
        <v>6.335</v>
      </c>
      <c r="G9" s="15">
        <f t="shared" si="1"/>
        <v>218.87424999999999</v>
      </c>
      <c r="H9" s="10">
        <f>133+30</f>
        <v>163</v>
      </c>
      <c r="I9" s="18">
        <f t="shared" ref="I9:I14" si="4">-G9+H9</f>
        <v>-55.874249999999989</v>
      </c>
    </row>
    <row r="10" spans="1:10" s="8" customFormat="1">
      <c r="A10" s="9" t="s">
        <v>88</v>
      </c>
      <c r="B10" s="22">
        <v>5</v>
      </c>
      <c r="C10" s="22">
        <v>18.5</v>
      </c>
      <c r="D10" s="22">
        <v>7</v>
      </c>
      <c r="E10" s="9">
        <f t="shared" si="0"/>
        <v>0.92500000000000004</v>
      </c>
      <c r="F10" s="9">
        <f t="shared" si="3"/>
        <v>26.425000000000001</v>
      </c>
      <c r="G10" s="15">
        <f t="shared" si="1"/>
        <v>912.98374999999999</v>
      </c>
      <c r="H10" s="10">
        <v>770</v>
      </c>
      <c r="I10" s="18">
        <f t="shared" si="4"/>
        <v>-142.98374999999999</v>
      </c>
    </row>
    <row r="11" spans="1:10" s="8" customFormat="1">
      <c r="A11" s="9" t="s">
        <v>24</v>
      </c>
      <c r="B11" s="22">
        <v>4</v>
      </c>
      <c r="C11" s="22">
        <v>19.14</v>
      </c>
      <c r="D11" s="22">
        <v>14</v>
      </c>
      <c r="E11" s="9">
        <f t="shared" si="0"/>
        <v>0.95700000000000007</v>
      </c>
      <c r="F11" s="9">
        <f t="shared" si="3"/>
        <v>34.097000000000001</v>
      </c>
      <c r="G11" s="15">
        <f t="shared" si="1"/>
        <v>1178.05135</v>
      </c>
      <c r="H11" s="10">
        <v>1136</v>
      </c>
      <c r="I11" s="18">
        <f t="shared" si="4"/>
        <v>-42.051349999999957</v>
      </c>
    </row>
    <row r="12" spans="1:10" s="8" customFormat="1">
      <c r="A12" s="9" t="s">
        <v>106</v>
      </c>
      <c r="B12" s="22">
        <v>4</v>
      </c>
      <c r="C12" s="22">
        <v>21.8</v>
      </c>
      <c r="D12" s="22">
        <v>5.6</v>
      </c>
      <c r="E12" s="9">
        <f t="shared" si="0"/>
        <v>1.0900000000000001</v>
      </c>
      <c r="F12" s="9">
        <f t="shared" si="3"/>
        <v>28.49</v>
      </c>
      <c r="G12" s="15">
        <f t="shared" si="1"/>
        <v>984.32949999999983</v>
      </c>
      <c r="H12" s="10">
        <f>950+90</f>
        <v>1040</v>
      </c>
      <c r="I12" s="18">
        <f t="shared" si="4"/>
        <v>55.670500000000175</v>
      </c>
    </row>
    <row r="13" spans="1:10" s="8" customFormat="1">
      <c r="A13" s="9" t="s">
        <v>107</v>
      </c>
      <c r="B13" s="22">
        <v>2</v>
      </c>
      <c r="C13" s="22">
        <v>10.9</v>
      </c>
      <c r="D13" s="22">
        <v>2.8</v>
      </c>
      <c r="E13" s="9">
        <f t="shared" si="0"/>
        <v>0.54500000000000004</v>
      </c>
      <c r="F13" s="9">
        <f t="shared" si="3"/>
        <v>14.244999999999999</v>
      </c>
      <c r="G13" s="15">
        <f t="shared" si="1"/>
        <v>492.16474999999991</v>
      </c>
      <c r="H13" s="10">
        <f>475+17</f>
        <v>492</v>
      </c>
      <c r="I13" s="18">
        <f t="shared" si="4"/>
        <v>-0.16474999999991269</v>
      </c>
    </row>
    <row r="14" spans="1:10" s="8" customFormat="1">
      <c r="A14" s="9" t="s">
        <v>108</v>
      </c>
      <c r="B14" s="22">
        <v>4</v>
      </c>
      <c r="C14" s="22">
        <v>17.7</v>
      </c>
      <c r="D14" s="22">
        <v>12.6</v>
      </c>
      <c r="E14" s="9">
        <f t="shared" si="0"/>
        <v>0.88500000000000001</v>
      </c>
      <c r="F14" s="9">
        <f t="shared" si="3"/>
        <v>31.184999999999999</v>
      </c>
      <c r="G14" s="15">
        <f t="shared" si="1"/>
        <v>1077.44175</v>
      </c>
      <c r="H14" s="41">
        <f>1039+38</f>
        <v>1077</v>
      </c>
      <c r="I14" s="18">
        <f t="shared" si="4"/>
        <v>-0.44174999999995634</v>
      </c>
    </row>
    <row r="15" spans="1:10" s="8" customFormat="1" ht="30">
      <c r="A15" s="9" t="s">
        <v>42</v>
      </c>
      <c r="B15" s="24">
        <v>9</v>
      </c>
      <c r="C15" s="24">
        <v>42.55</v>
      </c>
      <c r="D15" s="22">
        <v>12.6</v>
      </c>
      <c r="E15" s="9">
        <f t="shared" si="0"/>
        <v>2.1274999999999999</v>
      </c>
      <c r="F15" s="9">
        <f t="shared" si="3"/>
        <v>57.277499999999996</v>
      </c>
      <c r="G15" s="15">
        <f t="shared" si="1"/>
        <v>1978.9376249999998</v>
      </c>
      <c r="H15" s="10">
        <f>1910+70+5</f>
        <v>1985</v>
      </c>
      <c r="I15" s="18">
        <f t="shared" si="2"/>
        <v>6.0623750000002019</v>
      </c>
    </row>
    <row r="16" spans="1:10" s="8" customFormat="1">
      <c r="A16" s="9" t="s">
        <v>10</v>
      </c>
      <c r="B16" s="46"/>
      <c r="C16" s="46"/>
      <c r="D16" s="47"/>
      <c r="E16" s="48">
        <f t="shared" si="0"/>
        <v>0</v>
      </c>
      <c r="F16" s="48">
        <f>C16+D16+E16</f>
        <v>0</v>
      </c>
      <c r="G16" s="49">
        <f t="shared" si="1"/>
        <v>0</v>
      </c>
      <c r="H16" s="50"/>
      <c r="I16" s="51">
        <f t="shared" si="2"/>
        <v>0</v>
      </c>
    </row>
    <row r="17" spans="1:9" s="5" customFormat="1">
      <c r="A17" s="11"/>
      <c r="B17" s="11"/>
      <c r="C17" s="11"/>
      <c r="D17" s="11"/>
      <c r="E17" s="11"/>
      <c r="F17" s="11"/>
      <c r="G17" s="11"/>
      <c r="H17" s="11"/>
      <c r="I17" s="11"/>
    </row>
    <row r="19" spans="1:9" ht="33.75">
      <c r="A19" s="58" t="s">
        <v>109</v>
      </c>
    </row>
    <row r="20" spans="1:9">
      <c r="A20" s="52" t="s">
        <v>15</v>
      </c>
      <c r="B20" s="59"/>
      <c r="C20" s="60"/>
      <c r="D20" s="61"/>
    </row>
    <row r="21" spans="1:9">
      <c r="A21" s="53" t="s">
        <v>110</v>
      </c>
    </row>
    <row r="22" spans="1:9">
      <c r="A22" s="53" t="s">
        <v>111</v>
      </c>
    </row>
    <row r="23" spans="1:9">
      <c r="A23" s="52" t="s">
        <v>80</v>
      </c>
    </row>
    <row r="24" spans="1:9">
      <c r="A24" s="54" t="s">
        <v>97</v>
      </c>
    </row>
    <row r="25" spans="1:9">
      <c r="A25" s="52" t="s">
        <v>86</v>
      </c>
    </row>
    <row r="26" spans="1:9">
      <c r="A26" s="54" t="s">
        <v>99</v>
      </c>
    </row>
    <row r="27" spans="1:9">
      <c r="A27" s="54" t="s">
        <v>100</v>
      </c>
    </row>
    <row r="28" spans="1:9">
      <c r="A28" s="52" t="s">
        <v>21</v>
      </c>
    </row>
    <row r="29" spans="1:9">
      <c r="A29" s="55" t="s">
        <v>112</v>
      </c>
    </row>
    <row r="30" spans="1:9">
      <c r="A30" s="52" t="s">
        <v>24</v>
      </c>
    </row>
    <row r="31" spans="1:9">
      <c r="A31" s="56" t="s">
        <v>113</v>
      </c>
    </row>
    <row r="32" spans="1:9">
      <c r="A32" s="52" t="s">
        <v>106</v>
      </c>
    </row>
    <row r="33" spans="1:1">
      <c r="A33" s="54" t="s">
        <v>114</v>
      </c>
    </row>
    <row r="34" spans="1:1">
      <c r="A34" s="52" t="s">
        <v>72</v>
      </c>
    </row>
    <row r="35" spans="1:1">
      <c r="A35" s="57" t="s">
        <v>115</v>
      </c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rgb="FFFF0000"/>
  </sheetPr>
  <dimension ref="A1:J27"/>
  <sheetViews>
    <sheetView workbookViewId="0">
      <selection activeCell="E12" sqref="E12"/>
    </sheetView>
  </sheetViews>
  <sheetFormatPr defaultRowHeight="15"/>
  <cols>
    <col min="1" max="1" width="20.140625" customWidth="1"/>
    <col min="2" max="2" width="16.140625" customWidth="1"/>
    <col min="4" max="4" width="11.42578125" customWidth="1"/>
  </cols>
  <sheetData>
    <row r="1" spans="1:10" s="5" customFormat="1" ht="21">
      <c r="A1" s="1" t="s">
        <v>0</v>
      </c>
      <c r="B1" s="2">
        <v>41551</v>
      </c>
      <c r="C1" s="3" t="s">
        <v>1</v>
      </c>
      <c r="D1" s="4">
        <v>33.94</v>
      </c>
      <c r="E1" s="5" t="s">
        <v>2</v>
      </c>
    </row>
    <row r="2" spans="1:10" s="5" customFormat="1">
      <c r="A2" s="62" t="s">
        <v>117</v>
      </c>
    </row>
    <row r="3" spans="1:10" s="8" customFormat="1" ht="45">
      <c r="A3" s="6" t="s">
        <v>3</v>
      </c>
      <c r="B3" s="7" t="s">
        <v>17</v>
      </c>
      <c r="C3" s="7" t="s">
        <v>4</v>
      </c>
      <c r="D3" s="7" t="s">
        <v>5</v>
      </c>
      <c r="E3" s="7" t="s">
        <v>19</v>
      </c>
      <c r="F3" s="6" t="s">
        <v>18</v>
      </c>
      <c r="G3" s="6" t="s">
        <v>6</v>
      </c>
      <c r="H3" s="6" t="s">
        <v>7</v>
      </c>
      <c r="I3" s="6" t="s">
        <v>95</v>
      </c>
    </row>
    <row r="4" spans="1:10" s="8" customFormat="1">
      <c r="A4" s="9" t="s">
        <v>22</v>
      </c>
      <c r="B4" s="29">
        <v>5</v>
      </c>
      <c r="C4" s="29">
        <v>21.25</v>
      </c>
      <c r="D4" s="29">
        <v>7</v>
      </c>
      <c r="E4" s="9">
        <f>C4*0.05</f>
        <v>1.0625</v>
      </c>
      <c r="F4" s="9">
        <f>C4+D4+E4</f>
        <v>29.3125</v>
      </c>
      <c r="G4" s="15">
        <f>F4*$D$1</f>
        <v>994.86624999999992</v>
      </c>
      <c r="H4" s="10">
        <v>908</v>
      </c>
      <c r="I4" s="18">
        <f>-G4+H4</f>
        <v>-86.866249999999923</v>
      </c>
      <c r="J4" s="40"/>
    </row>
    <row r="5" spans="1:10" s="8" customFormat="1">
      <c r="A5" s="9" t="s">
        <v>39</v>
      </c>
      <c r="B5" s="29">
        <v>2</v>
      </c>
      <c r="C5" s="29">
        <v>6.99</v>
      </c>
      <c r="D5" s="29">
        <v>2.8</v>
      </c>
      <c r="E5" s="9">
        <f>C5*0.05</f>
        <v>0.34950000000000003</v>
      </c>
      <c r="F5" s="9">
        <f>C5+D5+E5</f>
        <v>10.1395</v>
      </c>
      <c r="G5" s="15">
        <f t="shared" ref="G5:G17" si="0">F5*$D$1</f>
        <v>344.13462999999996</v>
      </c>
      <c r="H5" s="10">
        <v>334</v>
      </c>
      <c r="I5" s="18">
        <f>-G5+H5</f>
        <v>-10.134629999999959</v>
      </c>
      <c r="J5" s="42"/>
    </row>
    <row r="6" spans="1:10" s="8" customFormat="1">
      <c r="A6" s="9" t="s">
        <v>119</v>
      </c>
      <c r="B6" s="22">
        <v>3</v>
      </c>
      <c r="C6" s="22">
        <v>10.75</v>
      </c>
      <c r="D6" s="22">
        <v>9.5</v>
      </c>
      <c r="E6" s="9">
        <f t="shared" ref="E6:E15" si="1">C6*0.05</f>
        <v>0.53749999999999998</v>
      </c>
      <c r="F6" s="9">
        <f>C6+D6+E6</f>
        <v>20.787500000000001</v>
      </c>
      <c r="G6" s="15">
        <f t="shared" si="0"/>
        <v>705.52774999999997</v>
      </c>
      <c r="H6" s="10">
        <v>707</v>
      </c>
      <c r="I6" s="18">
        <f t="shared" ref="I6:I17" si="2">-G6+H6</f>
        <v>1.4722500000000309</v>
      </c>
    </row>
    <row r="7" spans="1:10" s="8" customFormat="1">
      <c r="A7" s="9" t="s">
        <v>120</v>
      </c>
      <c r="B7" s="24">
        <v>1</v>
      </c>
      <c r="C7" s="24">
        <v>5</v>
      </c>
      <c r="D7" s="22">
        <v>1.4</v>
      </c>
      <c r="E7" s="9">
        <f t="shared" si="1"/>
        <v>0.25</v>
      </c>
      <c r="F7" s="9">
        <f t="shared" ref="F7:F15" si="3">C7+D7+E7</f>
        <v>6.65</v>
      </c>
      <c r="G7" s="15">
        <f t="shared" si="0"/>
        <v>225.70099999999999</v>
      </c>
      <c r="H7" s="10">
        <f>219+7</f>
        <v>226</v>
      </c>
      <c r="I7" s="18">
        <f t="shared" si="2"/>
        <v>0.29900000000000659</v>
      </c>
    </row>
    <row r="8" spans="1:10" s="8" customFormat="1">
      <c r="A8" s="9" t="s">
        <v>86</v>
      </c>
      <c r="B8" s="22">
        <v>5</v>
      </c>
      <c r="C8" s="22">
        <v>21.3</v>
      </c>
      <c r="D8" s="22">
        <v>7</v>
      </c>
      <c r="E8" s="9">
        <f t="shared" si="1"/>
        <v>1.0650000000000002</v>
      </c>
      <c r="F8" s="9">
        <f t="shared" si="3"/>
        <v>29.365000000000002</v>
      </c>
      <c r="G8" s="15">
        <f t="shared" si="0"/>
        <v>996.6481</v>
      </c>
      <c r="H8" s="10">
        <f>967+29</f>
        <v>996</v>
      </c>
      <c r="I8" s="18">
        <f>-G8+H8</f>
        <v>-0.64809999999999945</v>
      </c>
    </row>
    <row r="9" spans="1:10" s="8" customFormat="1">
      <c r="A9" s="9" t="s">
        <v>121</v>
      </c>
      <c r="B9" s="22">
        <v>8</v>
      </c>
      <c r="C9" s="22">
        <v>28.06</v>
      </c>
      <c r="D9" s="22">
        <v>12.6</v>
      </c>
      <c r="E9" s="9">
        <f t="shared" si="1"/>
        <v>1.403</v>
      </c>
      <c r="F9" s="9">
        <f t="shared" si="3"/>
        <v>42.062999999999995</v>
      </c>
      <c r="G9" s="15">
        <f t="shared" si="0"/>
        <v>1427.6182199999998</v>
      </c>
      <c r="H9" s="10">
        <f>1386+42</f>
        <v>1428</v>
      </c>
      <c r="I9" s="18">
        <f t="shared" ref="I9:I14" si="4">-G9+H9</f>
        <v>0.38178000000016254</v>
      </c>
    </row>
    <row r="10" spans="1:10" s="8" customFormat="1">
      <c r="A10" s="9" t="s">
        <v>87</v>
      </c>
      <c r="B10" s="22">
        <v>7</v>
      </c>
      <c r="C10" s="22">
        <v>18.62</v>
      </c>
      <c r="D10" s="22">
        <v>27.72</v>
      </c>
      <c r="E10" s="9">
        <f t="shared" si="1"/>
        <v>0.93100000000000005</v>
      </c>
      <c r="F10" s="9">
        <f t="shared" si="3"/>
        <v>47.271000000000001</v>
      </c>
      <c r="G10" s="15">
        <f t="shared" si="0"/>
        <v>1604.3777399999999</v>
      </c>
      <c r="H10" s="10">
        <v>1537</v>
      </c>
      <c r="I10" s="18">
        <f t="shared" si="4"/>
        <v>-67.377739999999903</v>
      </c>
    </row>
    <row r="11" spans="1:10" s="8" customFormat="1">
      <c r="A11" s="9" t="s">
        <v>122</v>
      </c>
      <c r="B11" s="22">
        <v>6</v>
      </c>
      <c r="C11" s="22">
        <v>23.45</v>
      </c>
      <c r="D11" s="22">
        <v>11.4</v>
      </c>
      <c r="E11" s="9">
        <f t="shared" si="1"/>
        <v>1.1725000000000001</v>
      </c>
      <c r="F11" s="9">
        <f t="shared" si="3"/>
        <v>36.022500000000001</v>
      </c>
      <c r="G11" s="15">
        <f t="shared" si="0"/>
        <v>1222.60365</v>
      </c>
      <c r="H11" s="10">
        <f>1187+36</f>
        <v>1223</v>
      </c>
      <c r="I11" s="18">
        <f t="shared" si="4"/>
        <v>0.39634999999998399</v>
      </c>
    </row>
    <row r="12" spans="1:10" s="8" customFormat="1">
      <c r="A12" s="9" t="s">
        <v>106</v>
      </c>
      <c r="B12" s="22">
        <v>17</v>
      </c>
      <c r="C12" s="22">
        <v>57.75</v>
      </c>
      <c r="D12" s="22">
        <v>22.4</v>
      </c>
      <c r="E12" s="9">
        <f t="shared" si="1"/>
        <v>2.8875000000000002</v>
      </c>
      <c r="F12" s="9">
        <f t="shared" si="3"/>
        <v>83.037500000000009</v>
      </c>
      <c r="G12" s="15">
        <f t="shared" si="0"/>
        <v>2818.2927500000001</v>
      </c>
      <c r="H12" s="10">
        <f>2736+34</f>
        <v>2770</v>
      </c>
      <c r="I12" s="18">
        <f t="shared" si="4"/>
        <v>-48.292750000000069</v>
      </c>
    </row>
    <row r="13" spans="1:10" s="8" customFormat="1">
      <c r="A13" s="9" t="s">
        <v>55</v>
      </c>
      <c r="B13" s="22">
        <v>6</v>
      </c>
      <c r="C13" s="22">
        <v>23</v>
      </c>
      <c r="D13" s="22">
        <v>8.4</v>
      </c>
      <c r="E13" s="9">
        <f t="shared" si="1"/>
        <v>1.1500000000000001</v>
      </c>
      <c r="F13" s="9">
        <f t="shared" si="3"/>
        <v>32.549999999999997</v>
      </c>
      <c r="G13" s="15">
        <f t="shared" si="0"/>
        <v>1104.7469999999998</v>
      </c>
      <c r="H13" s="10">
        <f>1100+5</f>
        <v>1105</v>
      </c>
      <c r="I13" s="18">
        <f t="shared" si="4"/>
        <v>0.25300000000015643</v>
      </c>
    </row>
    <row r="14" spans="1:10" s="8" customFormat="1">
      <c r="A14" s="9" t="s">
        <v>85</v>
      </c>
      <c r="B14" s="22">
        <v>4</v>
      </c>
      <c r="C14" s="22">
        <v>24.5</v>
      </c>
      <c r="D14" s="22">
        <v>5.6</v>
      </c>
      <c r="E14" s="9">
        <f t="shared" si="1"/>
        <v>1.2250000000000001</v>
      </c>
      <c r="F14" s="9">
        <f t="shared" si="3"/>
        <v>31.325000000000003</v>
      </c>
      <c r="G14" s="15">
        <f t="shared" si="0"/>
        <v>1063.1704999999999</v>
      </c>
      <c r="H14" s="41">
        <f>1032+14</f>
        <v>1046</v>
      </c>
      <c r="I14" s="18">
        <f t="shared" si="4"/>
        <v>-17.170499999999947</v>
      </c>
    </row>
    <row r="15" spans="1:10" s="8" customFormat="1">
      <c r="A15" s="9" t="s">
        <v>123</v>
      </c>
      <c r="B15" s="24">
        <v>2</v>
      </c>
      <c r="C15" s="24">
        <v>9</v>
      </c>
      <c r="D15" s="22">
        <v>2.8</v>
      </c>
      <c r="E15" s="9">
        <f t="shared" si="1"/>
        <v>0.45</v>
      </c>
      <c r="F15" s="9">
        <f t="shared" si="3"/>
        <v>12.25</v>
      </c>
      <c r="G15" s="15">
        <f t="shared" si="0"/>
        <v>415.76499999999999</v>
      </c>
      <c r="H15" s="10">
        <f>404+12</f>
        <v>416</v>
      </c>
      <c r="I15" s="18">
        <f t="shared" si="2"/>
        <v>0.23500000000001364</v>
      </c>
    </row>
    <row r="16" spans="1:10" s="8" customFormat="1">
      <c r="A16" s="9" t="s">
        <v>124</v>
      </c>
      <c r="B16" s="24">
        <v>1</v>
      </c>
      <c r="C16" s="24">
        <v>7.2</v>
      </c>
      <c r="D16" s="22">
        <v>2.1</v>
      </c>
      <c r="E16" s="9">
        <f t="shared" ref="E16:E17" si="5">C16*0.05</f>
        <v>0.36000000000000004</v>
      </c>
      <c r="F16" s="9">
        <f t="shared" ref="F16:F17" si="6">C16+D16+E16</f>
        <v>9.66</v>
      </c>
      <c r="G16" s="15">
        <f t="shared" si="0"/>
        <v>327.86039999999997</v>
      </c>
      <c r="H16" s="10">
        <v>318</v>
      </c>
      <c r="I16" s="18">
        <f t="shared" si="2"/>
        <v>-9.8603999999999701</v>
      </c>
    </row>
    <row r="17" spans="1:9" s="8" customFormat="1">
      <c r="A17" s="9" t="s">
        <v>125</v>
      </c>
      <c r="B17" s="24">
        <v>2</v>
      </c>
      <c r="C17" s="24">
        <v>3.7</v>
      </c>
      <c r="D17" s="22">
        <v>2.8</v>
      </c>
      <c r="E17" s="9">
        <f t="shared" si="5"/>
        <v>0.18500000000000003</v>
      </c>
      <c r="F17" s="9">
        <f t="shared" si="6"/>
        <v>6.6849999999999996</v>
      </c>
      <c r="G17" s="15">
        <f t="shared" si="0"/>
        <v>226.88889999999998</v>
      </c>
      <c r="H17" s="41">
        <v>220</v>
      </c>
      <c r="I17" s="18">
        <f t="shared" si="2"/>
        <v>-6.8888999999999783</v>
      </c>
    </row>
    <row r="18" spans="1:9" s="8" customFormat="1">
      <c r="A18" s="64" t="s">
        <v>10</v>
      </c>
      <c r="B18" s="46"/>
      <c r="C18" s="46"/>
      <c r="D18" s="47"/>
      <c r="E18" s="48"/>
      <c r="F18" s="48"/>
      <c r="G18" s="49"/>
      <c r="H18" s="50"/>
      <c r="I18" s="51"/>
    </row>
    <row r="20" spans="1:9" ht="33.75">
      <c r="A20" s="58" t="s">
        <v>109</v>
      </c>
    </row>
    <row r="21" spans="1:9">
      <c r="A21" s="52" t="s">
        <v>86</v>
      </c>
    </row>
    <row r="22" spans="1:9">
      <c r="A22" s="54" t="s">
        <v>99</v>
      </c>
    </row>
    <row r="23" spans="1:9">
      <c r="A23" s="54" t="s">
        <v>100</v>
      </c>
    </row>
    <row r="24" spans="1:9">
      <c r="A24" s="52" t="s">
        <v>39</v>
      </c>
    </row>
    <row r="25" spans="1:9">
      <c r="A25" s="54" t="s">
        <v>118</v>
      </c>
    </row>
    <row r="26" spans="1:9" s="63" customFormat="1" ht="28.5"/>
    <row r="27" spans="1:9" s="63" customFormat="1" ht="28.5"/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rgb="FFFF0000"/>
  </sheetPr>
  <dimension ref="A1:J32"/>
  <sheetViews>
    <sheetView workbookViewId="0">
      <selection activeCell="H18" sqref="H18"/>
    </sheetView>
  </sheetViews>
  <sheetFormatPr defaultRowHeight="15"/>
  <cols>
    <col min="1" max="1" width="20.140625" customWidth="1"/>
    <col min="2" max="2" width="16.140625" customWidth="1"/>
    <col min="3" max="3" width="10.42578125" customWidth="1"/>
    <col min="4" max="4" width="11.42578125" customWidth="1"/>
    <col min="10" max="10" width="50.42578125" customWidth="1"/>
  </cols>
  <sheetData>
    <row r="1" spans="1:10" s="5" customFormat="1" ht="21">
      <c r="A1" s="1" t="s">
        <v>0</v>
      </c>
      <c r="B1" s="2">
        <v>41597</v>
      </c>
      <c r="C1" s="3" t="s">
        <v>1</v>
      </c>
      <c r="D1" s="4">
        <v>32.909999999999997</v>
      </c>
      <c r="E1" s="5" t="s">
        <v>2</v>
      </c>
    </row>
    <row r="2" spans="1:10" s="5" customFormat="1">
      <c r="A2" s="62" t="s">
        <v>128</v>
      </c>
    </row>
    <row r="3" spans="1:10" s="8" customFormat="1" ht="45">
      <c r="A3" s="6" t="s">
        <v>3</v>
      </c>
      <c r="B3" s="7" t="s">
        <v>17</v>
      </c>
      <c r="C3" s="7" t="s">
        <v>4</v>
      </c>
      <c r="D3" s="7" t="s">
        <v>5</v>
      </c>
      <c r="E3" s="7" t="s">
        <v>19</v>
      </c>
      <c r="F3" s="6" t="s">
        <v>18</v>
      </c>
      <c r="G3" s="6" t="s">
        <v>6</v>
      </c>
      <c r="H3" s="6" t="s">
        <v>7</v>
      </c>
      <c r="I3" s="6" t="s">
        <v>95</v>
      </c>
    </row>
    <row r="4" spans="1:10" s="8" customFormat="1">
      <c r="A4" s="9" t="s">
        <v>22</v>
      </c>
      <c r="B4" s="29">
        <v>14</v>
      </c>
      <c r="C4" s="29">
        <v>75.13</v>
      </c>
      <c r="D4" s="29">
        <v>25.2</v>
      </c>
      <c r="E4" s="9">
        <f>C4*0.05</f>
        <v>3.7565</v>
      </c>
      <c r="F4" s="9">
        <f>C4+D4+E4</f>
        <v>104.0865</v>
      </c>
      <c r="G4" s="15">
        <f>F4*$D$1</f>
        <v>3425.4867149999995</v>
      </c>
      <c r="H4" s="10">
        <v>3455</v>
      </c>
      <c r="I4" s="18">
        <f>-G4+H4</f>
        <v>29.513285000000451</v>
      </c>
      <c r="J4" s="40"/>
    </row>
    <row r="5" spans="1:10" s="8" customFormat="1">
      <c r="A5" s="9" t="s">
        <v>129</v>
      </c>
      <c r="B5" s="29">
        <v>1</v>
      </c>
      <c r="C5" s="29">
        <v>5.5</v>
      </c>
      <c r="D5" s="29">
        <v>2.1</v>
      </c>
      <c r="E5" s="9">
        <f>C5*0.05</f>
        <v>0.27500000000000002</v>
      </c>
      <c r="F5" s="9">
        <f>C5+D5+E5</f>
        <v>7.875</v>
      </c>
      <c r="G5" s="15">
        <f t="shared" ref="G5:G15" si="0">F5*$D$1</f>
        <v>259.16624999999999</v>
      </c>
      <c r="H5" s="10">
        <v>259</v>
      </c>
      <c r="I5" s="18">
        <f>-G5+H5</f>
        <v>-0.16624999999999091</v>
      </c>
      <c r="J5" s="42"/>
    </row>
    <row r="6" spans="1:10" s="8" customFormat="1">
      <c r="A6" s="9" t="s">
        <v>33</v>
      </c>
      <c r="B6" s="22">
        <v>2</v>
      </c>
      <c r="C6" s="22">
        <v>6.55</v>
      </c>
      <c r="D6" s="22">
        <v>9.8000000000000007</v>
      </c>
      <c r="E6" s="9">
        <f t="shared" ref="E6:E15" si="1">C6*0.05</f>
        <v>0.32750000000000001</v>
      </c>
      <c r="F6" s="9">
        <f>C6+D6+E6</f>
        <v>16.677500000000002</v>
      </c>
      <c r="G6" s="15">
        <f t="shared" si="0"/>
        <v>548.85652500000003</v>
      </c>
      <c r="H6" s="10">
        <v>560</v>
      </c>
      <c r="I6" s="18">
        <f t="shared" ref="I6:I15" si="2">-G6+H6</f>
        <v>11.143474999999967</v>
      </c>
    </row>
    <row r="7" spans="1:10" s="8" customFormat="1">
      <c r="A7" s="9" t="s">
        <v>16</v>
      </c>
      <c r="B7" s="24">
        <v>6</v>
      </c>
      <c r="C7" s="24">
        <v>28.75</v>
      </c>
      <c r="D7" s="22">
        <v>9.8000000000000007</v>
      </c>
      <c r="E7" s="9">
        <f t="shared" si="1"/>
        <v>1.4375</v>
      </c>
      <c r="F7" s="9">
        <f t="shared" ref="F7:F15" si="3">C7+D7+E7</f>
        <v>39.987499999999997</v>
      </c>
      <c r="G7" s="15">
        <f t="shared" si="0"/>
        <v>1315.9886249999997</v>
      </c>
      <c r="H7" s="10">
        <v>1316</v>
      </c>
      <c r="I7" s="18">
        <f t="shared" si="2"/>
        <v>1.1375000000271029E-2</v>
      </c>
    </row>
    <row r="8" spans="1:10" s="8" customFormat="1">
      <c r="A8" s="9" t="s">
        <v>39</v>
      </c>
      <c r="B8" s="22">
        <v>3</v>
      </c>
      <c r="C8" s="69">
        <v>13.49</v>
      </c>
      <c r="D8" s="69">
        <v>4.2</v>
      </c>
      <c r="E8" s="9">
        <f t="shared" si="1"/>
        <v>0.6745000000000001</v>
      </c>
      <c r="F8" s="9">
        <f t="shared" si="3"/>
        <v>18.3645</v>
      </c>
      <c r="G8" s="15">
        <f t="shared" si="0"/>
        <v>604.37569499999995</v>
      </c>
      <c r="H8" s="10">
        <v>446</v>
      </c>
      <c r="I8" s="18">
        <f t="shared" ref="I8:I12" si="4">-G8+H8</f>
        <v>-158.37569499999995</v>
      </c>
    </row>
    <row r="9" spans="1:10" s="8" customFormat="1">
      <c r="A9" s="9" t="s">
        <v>24</v>
      </c>
      <c r="B9" s="22">
        <v>4</v>
      </c>
      <c r="C9" s="22">
        <v>18.350000000000001</v>
      </c>
      <c r="D9" s="22">
        <v>7</v>
      </c>
      <c r="E9" s="9">
        <f t="shared" si="1"/>
        <v>0.91750000000000009</v>
      </c>
      <c r="F9" s="9">
        <f t="shared" si="3"/>
        <v>26.267500000000002</v>
      </c>
      <c r="G9" s="15">
        <f t="shared" si="0"/>
        <v>864.46342499999992</v>
      </c>
      <c r="H9" s="10">
        <f>228+675</f>
        <v>903</v>
      </c>
      <c r="I9" s="18">
        <f t="shared" si="4"/>
        <v>38.536575000000084</v>
      </c>
    </row>
    <row r="10" spans="1:10" s="8" customFormat="1">
      <c r="A10" s="9" t="s">
        <v>130</v>
      </c>
      <c r="B10" s="22">
        <v>9</v>
      </c>
      <c r="C10" s="22">
        <v>45.79</v>
      </c>
      <c r="D10" s="22">
        <v>19.600000000000001</v>
      </c>
      <c r="E10" s="9">
        <f t="shared" si="1"/>
        <v>2.2894999999999999</v>
      </c>
      <c r="F10" s="9">
        <f t="shared" si="3"/>
        <v>67.679500000000004</v>
      </c>
      <c r="G10" s="15">
        <f t="shared" si="0"/>
        <v>2227.3323449999998</v>
      </c>
      <c r="H10" s="10">
        <v>2227</v>
      </c>
      <c r="I10" s="18">
        <f t="shared" si="4"/>
        <v>-0.33234499999980471</v>
      </c>
    </row>
    <row r="11" spans="1:10" s="8" customFormat="1">
      <c r="A11" s="9" t="s">
        <v>88</v>
      </c>
      <c r="B11" s="22">
        <v>4</v>
      </c>
      <c r="C11" s="22">
        <v>15.2</v>
      </c>
      <c r="D11" s="69">
        <v>9.8000000000000007</v>
      </c>
      <c r="E11" s="9">
        <f t="shared" si="1"/>
        <v>0.76</v>
      </c>
      <c r="F11" s="9">
        <f t="shared" si="3"/>
        <v>25.76</v>
      </c>
      <c r="G11" s="15">
        <f t="shared" si="0"/>
        <v>847.76159999999993</v>
      </c>
      <c r="H11" s="10">
        <f>741+138</f>
        <v>879</v>
      </c>
      <c r="I11" s="18">
        <f t="shared" si="4"/>
        <v>31.23840000000007</v>
      </c>
    </row>
    <row r="12" spans="1:10" s="8" customFormat="1">
      <c r="A12" s="9" t="s">
        <v>107</v>
      </c>
      <c r="B12" s="22">
        <v>2</v>
      </c>
      <c r="C12" s="22">
        <v>12.9</v>
      </c>
      <c r="D12" s="69">
        <v>7</v>
      </c>
      <c r="E12" s="9">
        <f t="shared" si="1"/>
        <v>0.64500000000000002</v>
      </c>
      <c r="F12" s="9">
        <f t="shared" si="3"/>
        <v>20.544999999999998</v>
      </c>
      <c r="G12" s="15">
        <f t="shared" si="0"/>
        <v>676.13594999999987</v>
      </c>
      <c r="H12" s="41">
        <f>390+159</f>
        <v>549</v>
      </c>
      <c r="I12" s="18">
        <f t="shared" si="4"/>
        <v>-127.13594999999987</v>
      </c>
    </row>
    <row r="13" spans="1:10" s="8" customFormat="1">
      <c r="A13" s="9" t="s">
        <v>131</v>
      </c>
      <c r="B13" s="24">
        <v>2</v>
      </c>
      <c r="C13" s="24">
        <v>5.0999999999999996</v>
      </c>
      <c r="D13" s="22">
        <v>9.8000000000000007</v>
      </c>
      <c r="E13" s="9">
        <f t="shared" si="1"/>
        <v>0.255</v>
      </c>
      <c r="F13" s="9">
        <f t="shared" si="3"/>
        <v>15.155000000000001</v>
      </c>
      <c r="G13" s="15">
        <f t="shared" si="0"/>
        <v>498.75104999999996</v>
      </c>
      <c r="H13" s="10">
        <v>499</v>
      </c>
      <c r="I13" s="18">
        <f t="shared" si="2"/>
        <v>0.2489500000000362</v>
      </c>
    </row>
    <row r="14" spans="1:10" s="8" customFormat="1">
      <c r="A14" s="9" t="s">
        <v>132</v>
      </c>
      <c r="B14" s="24">
        <v>6</v>
      </c>
      <c r="C14" s="24">
        <v>18</v>
      </c>
      <c r="D14" s="22">
        <v>8.4</v>
      </c>
      <c r="E14" s="9">
        <f t="shared" si="1"/>
        <v>0.9</v>
      </c>
      <c r="F14" s="9">
        <f t="shared" si="3"/>
        <v>27.299999999999997</v>
      </c>
      <c r="G14" s="15">
        <f t="shared" si="0"/>
        <v>898.44299999999987</v>
      </c>
      <c r="H14" s="10">
        <v>898</v>
      </c>
      <c r="I14" s="18">
        <f t="shared" si="2"/>
        <v>-0.44299999999986994</v>
      </c>
    </row>
    <row r="15" spans="1:10" s="8" customFormat="1">
      <c r="A15" s="9" t="s">
        <v>125</v>
      </c>
      <c r="B15" s="24">
        <v>1</v>
      </c>
      <c r="C15" s="29">
        <v>4.7</v>
      </c>
      <c r="D15" s="22">
        <v>1.4</v>
      </c>
      <c r="E15" s="9">
        <f t="shared" si="1"/>
        <v>0.23500000000000001</v>
      </c>
      <c r="F15" s="9">
        <f t="shared" si="3"/>
        <v>6.335</v>
      </c>
      <c r="G15" s="15">
        <f t="shared" si="0"/>
        <v>208.48484999999997</v>
      </c>
      <c r="H15" s="41">
        <v>220</v>
      </c>
      <c r="I15" s="18">
        <f t="shared" si="2"/>
        <v>11.515150000000034</v>
      </c>
    </row>
    <row r="16" spans="1:10" s="8" customFormat="1" ht="30" customHeight="1">
      <c r="A16" s="9" t="s">
        <v>42</v>
      </c>
      <c r="B16" s="24">
        <v>5</v>
      </c>
      <c r="C16" s="24">
        <v>17.420000000000002</v>
      </c>
      <c r="D16" s="22">
        <v>7</v>
      </c>
      <c r="E16" s="9">
        <f t="shared" ref="E16:E18" si="5">C16*0.05</f>
        <v>0.87100000000000011</v>
      </c>
      <c r="F16" s="9">
        <f t="shared" ref="F16:F18" si="6">C16+D16+E16</f>
        <v>25.291</v>
      </c>
      <c r="G16" s="15">
        <f t="shared" ref="G16:G18" si="7">F16*$D$1</f>
        <v>832.32680999999991</v>
      </c>
      <c r="H16" s="10">
        <v>1029</v>
      </c>
      <c r="I16" s="18">
        <f>-G16+H16-130-7-8-16</f>
        <v>35.673190000000091</v>
      </c>
      <c r="J16" s="40" t="s">
        <v>156</v>
      </c>
    </row>
    <row r="17" spans="1:9" s="8" customFormat="1" ht="15.75" customHeight="1">
      <c r="A17" s="65" t="s">
        <v>15</v>
      </c>
      <c r="B17" s="24">
        <v>1</v>
      </c>
      <c r="C17" s="24">
        <v>86.46</v>
      </c>
      <c r="D17" s="69">
        <f>1.4*12</f>
        <v>16.799999999999997</v>
      </c>
      <c r="E17" s="9">
        <f t="shared" ref="E17" si="8">C17*0.05</f>
        <v>4.3229999999999995</v>
      </c>
      <c r="F17" s="9">
        <f t="shared" ref="F17" si="9">C17+D17+E17</f>
        <v>107.58299999999998</v>
      </c>
      <c r="G17" s="15">
        <f t="shared" ref="G17" si="10">F17*$D$1</f>
        <v>3540.5565299999989</v>
      </c>
      <c r="H17" s="10">
        <f>3264+20+256</f>
        <v>3540</v>
      </c>
      <c r="I17" s="18">
        <f t="shared" ref="I17" si="11">-G17+H17</f>
        <v>-0.55652999999892927</v>
      </c>
    </row>
    <row r="18" spans="1:9" s="8" customFormat="1">
      <c r="A18" t="s">
        <v>133</v>
      </c>
      <c r="B18" s="24">
        <v>6</v>
      </c>
      <c r="C18" s="24">
        <v>30.28</v>
      </c>
      <c r="D18" s="22">
        <v>8.4</v>
      </c>
      <c r="E18" s="9">
        <f t="shared" si="5"/>
        <v>1.5140000000000002</v>
      </c>
      <c r="F18" s="9">
        <f t="shared" si="6"/>
        <v>40.194000000000003</v>
      </c>
      <c r="G18" s="15">
        <f t="shared" si="7"/>
        <v>1322.7845399999999</v>
      </c>
      <c r="H18" s="41">
        <v>1323</v>
      </c>
      <c r="I18" s="18">
        <f t="shared" ref="I18" si="12">-G18+H18</f>
        <v>0.215460000000121</v>
      </c>
    </row>
    <row r="19" spans="1:9" s="8" customFormat="1">
      <c r="A19" s="64" t="s">
        <v>10</v>
      </c>
      <c r="B19" s="46"/>
      <c r="C19" s="46"/>
      <c r="D19" s="47"/>
      <c r="E19" s="48"/>
      <c r="F19" s="48"/>
      <c r="G19" s="49"/>
      <c r="H19" s="50"/>
      <c r="I19" s="51"/>
    </row>
    <row r="21" spans="1:9" ht="33.75">
      <c r="A21" s="58" t="s">
        <v>109</v>
      </c>
    </row>
    <row r="22" spans="1:9">
      <c r="A22" s="52" t="s">
        <v>86</v>
      </c>
    </row>
    <row r="23" spans="1:9">
      <c r="A23" s="54" t="s">
        <v>99</v>
      </c>
    </row>
    <row r="24" spans="1:9">
      <c r="A24" s="54" t="s">
        <v>100</v>
      </c>
    </row>
    <row r="25" spans="1:9">
      <c r="A25" s="52" t="s">
        <v>39</v>
      </c>
    </row>
    <row r="26" spans="1:9">
      <c r="A26" s="54" t="s">
        <v>134</v>
      </c>
    </row>
    <row r="27" spans="1:9" s="63" customFormat="1" ht="19.5" customHeight="1">
      <c r="A27" s="52" t="s">
        <v>22</v>
      </c>
    </row>
    <row r="28" spans="1:9">
      <c r="A28" t="s">
        <v>135</v>
      </c>
    </row>
    <row r="29" spans="1:9">
      <c r="A29" t="s">
        <v>136</v>
      </c>
    </row>
    <row r="30" spans="1:9">
      <c r="A30" t="s">
        <v>137</v>
      </c>
    </row>
    <row r="31" spans="1:9">
      <c r="A31" s="52" t="s">
        <v>130</v>
      </c>
    </row>
    <row r="32" spans="1:9">
      <c r="A32" t="s">
        <v>138</v>
      </c>
    </row>
  </sheetData>
  <hyperlinks>
    <hyperlink ref="A31" r:id="rId1" display="http://forum.sibmama.ru/viewtopic.php?t=715424&amp;postdays=0&amp;postorder=asc&amp;start=6300&amp;sid=318b0b97196eee6305058713a3e1aa1d"/>
  </hyperlink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rgb="FFFF0000"/>
  </sheetPr>
  <dimension ref="A1:J30"/>
  <sheetViews>
    <sheetView workbookViewId="0">
      <selection activeCell="B4" sqref="B4:B14"/>
    </sheetView>
  </sheetViews>
  <sheetFormatPr defaultRowHeight="15"/>
  <cols>
    <col min="1" max="1" width="20.140625" customWidth="1"/>
    <col min="2" max="2" width="16.140625" customWidth="1"/>
    <col min="3" max="3" width="10.42578125" customWidth="1"/>
    <col min="4" max="4" width="11.42578125" customWidth="1"/>
  </cols>
  <sheetData>
    <row r="1" spans="1:10" s="5" customFormat="1" ht="21">
      <c r="A1" s="1" t="s">
        <v>0</v>
      </c>
      <c r="B1" s="2">
        <v>41627</v>
      </c>
      <c r="C1" s="3" t="s">
        <v>1</v>
      </c>
      <c r="D1" s="4">
        <v>33.43</v>
      </c>
      <c r="E1" s="5" t="s">
        <v>2</v>
      </c>
    </row>
    <row r="2" spans="1:10" s="5" customFormat="1">
      <c r="A2" s="62" t="s">
        <v>141</v>
      </c>
    </row>
    <row r="3" spans="1:10" s="8" customFormat="1" ht="45">
      <c r="A3" s="6" t="s">
        <v>3</v>
      </c>
      <c r="B3" s="7" t="s">
        <v>17</v>
      </c>
      <c r="C3" s="7" t="s">
        <v>4</v>
      </c>
      <c r="D3" s="7" t="s">
        <v>5</v>
      </c>
      <c r="E3" s="7" t="s">
        <v>19</v>
      </c>
      <c r="F3" s="6" t="s">
        <v>18</v>
      </c>
      <c r="G3" s="6" t="s">
        <v>6</v>
      </c>
      <c r="H3" s="6" t="s">
        <v>7</v>
      </c>
      <c r="I3" s="6" t="s">
        <v>95</v>
      </c>
    </row>
    <row r="4" spans="1:10" s="8" customFormat="1">
      <c r="A4" s="9" t="s">
        <v>142</v>
      </c>
      <c r="B4" s="29">
        <v>5</v>
      </c>
      <c r="C4" s="29">
        <v>27.5</v>
      </c>
      <c r="D4" s="29">
        <f>1.57*B4</f>
        <v>7.8500000000000005</v>
      </c>
      <c r="E4" s="9">
        <f>C4*0.05</f>
        <v>1.375</v>
      </c>
      <c r="F4" s="9">
        <f>C4+D4+E4</f>
        <v>36.725000000000001</v>
      </c>
      <c r="G4" s="15">
        <f>F4*$D$1</f>
        <v>1227.71675</v>
      </c>
      <c r="H4" s="10">
        <v>1234</v>
      </c>
      <c r="I4" s="18">
        <f>-G4+H4</f>
        <v>6.2832499999999527</v>
      </c>
      <c r="J4" s="40"/>
    </row>
    <row r="5" spans="1:10" s="8" customFormat="1">
      <c r="A5" s="9" t="s">
        <v>133</v>
      </c>
      <c r="B5" s="29">
        <v>18</v>
      </c>
      <c r="C5" s="29">
        <v>75.52</v>
      </c>
      <c r="D5" s="29">
        <v>29.44</v>
      </c>
      <c r="E5" s="9">
        <f>C5*0.05</f>
        <v>3.7759999999999998</v>
      </c>
      <c r="F5" s="9">
        <f>C5+D5+E5</f>
        <v>108.73599999999999</v>
      </c>
      <c r="G5" s="15">
        <f t="shared" ref="G5:G14" si="0">F5*$D$1</f>
        <v>3635.0444799999996</v>
      </c>
      <c r="H5" s="10">
        <v>3655</v>
      </c>
      <c r="I5" s="18">
        <f>-G5+H5</f>
        <v>19.955520000000433</v>
      </c>
      <c r="J5" s="42"/>
    </row>
    <row r="6" spans="1:10" s="8" customFormat="1">
      <c r="A6" s="9" t="s">
        <v>143</v>
      </c>
      <c r="B6" s="22">
        <v>2</v>
      </c>
      <c r="C6" s="22">
        <v>9.98</v>
      </c>
      <c r="D6" s="22">
        <f>1.57*B6</f>
        <v>3.14</v>
      </c>
      <c r="E6" s="9">
        <f t="shared" ref="E6:E14" si="1">C6*0.05</f>
        <v>0.49900000000000005</v>
      </c>
      <c r="F6" s="9">
        <f>C6+D6+E6</f>
        <v>13.619000000000002</v>
      </c>
      <c r="G6" s="15">
        <f t="shared" si="0"/>
        <v>455.28317000000004</v>
      </c>
      <c r="H6" s="70">
        <v>455</v>
      </c>
      <c r="I6" s="18">
        <f t="shared" ref="I6:I14" si="2">-G6+H6</f>
        <v>-0.283170000000041</v>
      </c>
    </row>
    <row r="7" spans="1:10" s="8" customFormat="1">
      <c r="A7" s="9" t="s">
        <v>124</v>
      </c>
      <c r="B7" s="24">
        <v>3</v>
      </c>
      <c r="C7" s="24">
        <v>13.2</v>
      </c>
      <c r="D7" s="22">
        <f>1.57*B7</f>
        <v>4.71</v>
      </c>
      <c r="E7" s="9">
        <f t="shared" si="1"/>
        <v>0.66</v>
      </c>
      <c r="F7" s="9">
        <f t="shared" ref="F7:F14" si="3">C7+D7+E7</f>
        <v>18.57</v>
      </c>
      <c r="G7" s="15">
        <f t="shared" si="0"/>
        <v>620.79510000000005</v>
      </c>
      <c r="H7" s="10">
        <v>624</v>
      </c>
      <c r="I7" s="18">
        <f t="shared" si="2"/>
        <v>3.2048999999999523</v>
      </c>
    </row>
    <row r="8" spans="1:10" s="8" customFormat="1">
      <c r="A8" s="9" t="s">
        <v>144</v>
      </c>
      <c r="B8" s="22">
        <v>4</v>
      </c>
      <c r="C8" s="22">
        <v>13.1</v>
      </c>
      <c r="D8" s="22">
        <f>1.57*B8</f>
        <v>6.28</v>
      </c>
      <c r="E8" s="9">
        <f t="shared" si="1"/>
        <v>0.65500000000000003</v>
      </c>
      <c r="F8" s="9">
        <f t="shared" si="3"/>
        <v>20.035</v>
      </c>
      <c r="G8" s="15">
        <f t="shared" si="0"/>
        <v>669.77004999999997</v>
      </c>
      <c r="H8" s="10">
        <v>670</v>
      </c>
      <c r="I8" s="18">
        <f t="shared" si="2"/>
        <v>0.22995000000003074</v>
      </c>
    </row>
    <row r="9" spans="1:10" s="8" customFormat="1">
      <c r="A9" s="9" t="s">
        <v>86</v>
      </c>
      <c r="B9" s="22">
        <v>7</v>
      </c>
      <c r="C9" s="22">
        <v>16.05</v>
      </c>
      <c r="D9" s="22">
        <v>7.85</v>
      </c>
      <c r="E9" s="9">
        <f t="shared" si="1"/>
        <v>0.8025000000000001</v>
      </c>
      <c r="F9" s="9">
        <f t="shared" si="3"/>
        <v>24.702499999999997</v>
      </c>
      <c r="G9" s="15">
        <f t="shared" si="0"/>
        <v>825.80457499999989</v>
      </c>
      <c r="H9" s="10">
        <v>816</v>
      </c>
      <c r="I9" s="18">
        <f t="shared" si="2"/>
        <v>-9.8045749999998861</v>
      </c>
    </row>
    <row r="10" spans="1:10" s="8" customFormat="1">
      <c r="A10" s="9" t="s">
        <v>129</v>
      </c>
      <c r="B10" s="25">
        <v>1</v>
      </c>
      <c r="C10" s="66">
        <v>1.85</v>
      </c>
      <c r="D10" s="22">
        <v>9.42</v>
      </c>
      <c r="E10" s="9">
        <f t="shared" si="1"/>
        <v>9.2500000000000013E-2</v>
      </c>
      <c r="F10" s="9">
        <f t="shared" si="3"/>
        <v>11.362499999999999</v>
      </c>
      <c r="G10" s="15">
        <f t="shared" si="0"/>
        <v>379.84837499999998</v>
      </c>
      <c r="H10" s="10">
        <v>382</v>
      </c>
      <c r="I10" s="18">
        <f t="shared" si="2"/>
        <v>2.1516250000000241</v>
      </c>
    </row>
    <row r="11" spans="1:10" s="8" customFormat="1">
      <c r="A11" s="9" t="s">
        <v>16</v>
      </c>
      <c r="B11" s="22">
        <v>1</v>
      </c>
      <c r="C11" s="22">
        <v>6.3</v>
      </c>
      <c r="D11" s="22">
        <v>1.57</v>
      </c>
      <c r="E11" s="9">
        <f t="shared" si="1"/>
        <v>0.315</v>
      </c>
      <c r="F11" s="9">
        <f t="shared" si="3"/>
        <v>8.1850000000000005</v>
      </c>
      <c r="G11" s="15">
        <f t="shared" si="0"/>
        <v>273.62455</v>
      </c>
      <c r="H11" s="10">
        <v>275</v>
      </c>
      <c r="I11" s="18">
        <f t="shared" si="2"/>
        <v>1.3754500000000007</v>
      </c>
    </row>
    <row r="12" spans="1:10" s="8" customFormat="1">
      <c r="A12" s="9" t="s">
        <v>145</v>
      </c>
      <c r="B12" s="22">
        <v>1</v>
      </c>
      <c r="C12" s="22">
        <v>4.7</v>
      </c>
      <c r="D12" s="22">
        <v>1.57</v>
      </c>
      <c r="E12" s="9">
        <f t="shared" si="1"/>
        <v>0.23500000000000001</v>
      </c>
      <c r="F12" s="9">
        <f t="shared" si="3"/>
        <v>6.5050000000000008</v>
      </c>
      <c r="G12" s="15">
        <f t="shared" si="0"/>
        <v>217.46215000000004</v>
      </c>
      <c r="H12" s="41">
        <v>219</v>
      </c>
      <c r="I12" s="18">
        <f t="shared" si="2"/>
        <v>1.5378499999999633</v>
      </c>
    </row>
    <row r="13" spans="1:10" s="8" customFormat="1">
      <c r="A13" s="9" t="s">
        <v>88</v>
      </c>
      <c r="B13" s="24">
        <v>2</v>
      </c>
      <c r="C13" s="24">
        <v>8.5</v>
      </c>
      <c r="D13" s="22">
        <v>3.14</v>
      </c>
      <c r="E13" s="9">
        <f t="shared" si="1"/>
        <v>0.42500000000000004</v>
      </c>
      <c r="F13" s="9">
        <f t="shared" si="3"/>
        <v>12.065000000000001</v>
      </c>
      <c r="G13" s="15">
        <f t="shared" si="0"/>
        <v>403.33295000000004</v>
      </c>
      <c r="H13" s="10">
        <v>405</v>
      </c>
      <c r="I13" s="18">
        <f t="shared" si="2"/>
        <v>1.6670499999999606</v>
      </c>
    </row>
    <row r="14" spans="1:10" s="8" customFormat="1">
      <c r="A14" s="9" t="s">
        <v>15</v>
      </c>
      <c r="B14" s="24">
        <v>5</v>
      </c>
      <c r="C14" s="24">
        <v>62.45</v>
      </c>
      <c r="D14" s="22">
        <v>7.85</v>
      </c>
      <c r="E14" s="9">
        <f t="shared" si="1"/>
        <v>3.1225000000000005</v>
      </c>
      <c r="F14" s="9">
        <f t="shared" si="3"/>
        <v>73.422499999999999</v>
      </c>
      <c r="G14" s="15">
        <f t="shared" si="0"/>
        <v>2454.5141749999998</v>
      </c>
      <c r="H14" s="10">
        <v>2468</v>
      </c>
      <c r="I14" s="18">
        <f t="shared" si="2"/>
        <v>13.485825000000204</v>
      </c>
    </row>
    <row r="15" spans="1:10" s="8" customFormat="1">
      <c r="A15" s="64" t="s">
        <v>10</v>
      </c>
      <c r="B15" s="46"/>
      <c r="C15" s="46"/>
      <c r="D15" s="47"/>
      <c r="E15" s="48"/>
      <c r="F15" s="48"/>
      <c r="G15" s="49"/>
      <c r="H15" s="50"/>
      <c r="I15" s="51"/>
    </row>
    <row r="17" spans="1:2" s="68" customFormat="1" ht="26.25"/>
    <row r="18" spans="1:2" ht="26.25">
      <c r="A18" s="68" t="s">
        <v>151</v>
      </c>
    </row>
    <row r="19" spans="1:2" ht="26.25">
      <c r="A19" s="68"/>
    </row>
    <row r="20" spans="1:2" ht="26.25">
      <c r="A20" s="68"/>
    </row>
    <row r="21" spans="1:2" ht="33.75">
      <c r="A21" s="58" t="s">
        <v>109</v>
      </c>
    </row>
    <row r="22" spans="1:2">
      <c r="A22" s="52" t="s">
        <v>86</v>
      </c>
      <c r="B22" s="52"/>
    </row>
    <row r="23" spans="1:2">
      <c r="A23" s="54" t="s">
        <v>99</v>
      </c>
    </row>
    <row r="24" spans="1:2">
      <c r="A24" s="54" t="s">
        <v>100</v>
      </c>
    </row>
    <row r="25" spans="1:2">
      <c r="A25" s="12" t="s">
        <v>147</v>
      </c>
    </row>
    <row r="26" spans="1:2">
      <c r="A26" s="12" t="s">
        <v>148</v>
      </c>
    </row>
    <row r="27" spans="1:2" s="63" customFormat="1" ht="28.5">
      <c r="A27" s="67" t="s">
        <v>146</v>
      </c>
    </row>
    <row r="28" spans="1:2">
      <c r="A28" s="52" t="s">
        <v>133</v>
      </c>
      <c r="B28" s="52"/>
    </row>
    <row r="29" spans="1:2">
      <c r="A29" s="67" t="s">
        <v>146</v>
      </c>
    </row>
    <row r="30" spans="1:2">
      <c r="A30" s="12" t="s">
        <v>147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rgb="FFFF0000"/>
  </sheetPr>
  <dimension ref="A1:J22"/>
  <sheetViews>
    <sheetView workbookViewId="0">
      <selection activeCell="J15" sqref="J15"/>
    </sheetView>
  </sheetViews>
  <sheetFormatPr defaultRowHeight="15"/>
  <cols>
    <col min="1" max="1" width="13.5703125" customWidth="1"/>
    <col min="2" max="2" width="16.140625" customWidth="1"/>
    <col min="3" max="3" width="11.140625" customWidth="1"/>
    <col min="4" max="4" width="11" customWidth="1"/>
    <col min="7" max="7" width="8.5703125" customWidth="1"/>
    <col min="8" max="8" width="11.7109375" customWidth="1"/>
    <col min="10" max="10" width="36.7109375" customWidth="1"/>
  </cols>
  <sheetData>
    <row r="1" spans="1:10" s="5" customFormat="1" ht="21">
      <c r="A1" s="1" t="s">
        <v>0</v>
      </c>
      <c r="B1" s="2">
        <v>41698</v>
      </c>
      <c r="C1" s="3" t="s">
        <v>1</v>
      </c>
      <c r="D1" s="4">
        <v>36.299999999999997</v>
      </c>
      <c r="E1" s="5" t="s">
        <v>2</v>
      </c>
    </row>
    <row r="2" spans="1:10" s="5" customFormat="1">
      <c r="A2" s="62" t="s">
        <v>159</v>
      </c>
    </row>
    <row r="3" spans="1:10" s="8" customFormat="1" ht="45">
      <c r="A3" s="6" t="s">
        <v>3</v>
      </c>
      <c r="B3" s="7" t="s">
        <v>17</v>
      </c>
      <c r="C3" s="7" t="s">
        <v>4</v>
      </c>
      <c r="D3" s="7" t="s">
        <v>5</v>
      </c>
      <c r="E3" s="7" t="s">
        <v>19</v>
      </c>
      <c r="F3" s="6" t="s">
        <v>18</v>
      </c>
      <c r="G3" s="6" t="s">
        <v>6</v>
      </c>
      <c r="H3" s="6" t="s">
        <v>7</v>
      </c>
      <c r="I3" s="6" t="s">
        <v>95</v>
      </c>
    </row>
    <row r="4" spans="1:10" s="8" customFormat="1">
      <c r="A4" s="9" t="s">
        <v>153</v>
      </c>
      <c r="B4" s="29">
        <v>3</v>
      </c>
      <c r="C4" s="29">
        <v>15.15</v>
      </c>
      <c r="D4" s="29">
        <v>4.2</v>
      </c>
      <c r="E4" s="9">
        <f>C4*0.05</f>
        <v>0.75750000000000006</v>
      </c>
      <c r="F4" s="9">
        <f>C4+D4+E4</f>
        <v>20.107500000000002</v>
      </c>
      <c r="G4" s="15">
        <f>F4*$D$1</f>
        <v>729.90224999999998</v>
      </c>
      <c r="H4" s="10">
        <v>739</v>
      </c>
      <c r="I4" s="18">
        <f>-G4+H4</f>
        <v>9.0977500000000191</v>
      </c>
      <c r="J4" s="40"/>
    </row>
    <row r="5" spans="1:10" s="8" customFormat="1">
      <c r="A5" s="9" t="s">
        <v>21</v>
      </c>
      <c r="B5" s="29">
        <v>6</v>
      </c>
      <c r="C5" s="29">
        <v>25.57</v>
      </c>
      <c r="D5" s="29">
        <v>8.4</v>
      </c>
      <c r="E5" s="9">
        <f>C5*0.05</f>
        <v>1.2785000000000002</v>
      </c>
      <c r="F5" s="9">
        <f>C5+D5+E5</f>
        <v>35.2485</v>
      </c>
      <c r="G5" s="15">
        <f t="shared" ref="G5:G15" si="0">F5*$D$1</f>
        <v>1279.52055</v>
      </c>
      <c r="H5" s="10">
        <v>1296</v>
      </c>
      <c r="I5" s="18">
        <f>-G5+H5</f>
        <v>16.479450000000043</v>
      </c>
      <c r="J5" s="42"/>
    </row>
    <row r="6" spans="1:10" s="8" customFormat="1">
      <c r="A6" s="9" t="s">
        <v>83</v>
      </c>
      <c r="B6" s="31">
        <v>1</v>
      </c>
      <c r="C6" s="24">
        <v>4.29</v>
      </c>
      <c r="D6" s="22">
        <v>1.4</v>
      </c>
      <c r="E6" s="9">
        <f t="shared" ref="E6:E15" si="1">C6*0.05</f>
        <v>0.21450000000000002</v>
      </c>
      <c r="F6" s="9">
        <f>C6+D6+E6</f>
        <v>5.9044999999999996</v>
      </c>
      <c r="G6" s="15">
        <f t="shared" si="0"/>
        <v>214.33334999999997</v>
      </c>
      <c r="H6" s="10">
        <v>217</v>
      </c>
      <c r="I6" s="18">
        <f t="shared" ref="I6:I15" si="2">-G6+H6</f>
        <v>2.6666500000000326</v>
      </c>
    </row>
    <row r="7" spans="1:10" s="8" customFormat="1">
      <c r="A7" s="9" t="s">
        <v>14</v>
      </c>
      <c r="B7" s="24">
        <v>1</v>
      </c>
      <c r="C7" s="24">
        <v>15</v>
      </c>
      <c r="D7" s="22">
        <v>7</v>
      </c>
      <c r="E7" s="9">
        <f t="shared" si="1"/>
        <v>0.75</v>
      </c>
      <c r="F7" s="9">
        <f t="shared" ref="F7:F15" si="3">C7+D7+E7</f>
        <v>22.75</v>
      </c>
      <c r="G7" s="15">
        <f t="shared" si="0"/>
        <v>825.82499999999993</v>
      </c>
      <c r="H7" s="10">
        <v>850</v>
      </c>
      <c r="I7" s="18">
        <f t="shared" si="2"/>
        <v>24.175000000000068</v>
      </c>
    </row>
    <row r="8" spans="1:10" s="8" customFormat="1">
      <c r="A8" s="9" t="s">
        <v>154</v>
      </c>
      <c r="B8" s="22">
        <v>5</v>
      </c>
      <c r="C8" s="22">
        <v>16.75</v>
      </c>
      <c r="D8" s="22">
        <v>7</v>
      </c>
      <c r="E8" s="9">
        <f t="shared" si="1"/>
        <v>0.83750000000000002</v>
      </c>
      <c r="F8" s="9">
        <f t="shared" si="3"/>
        <v>24.587499999999999</v>
      </c>
      <c r="G8" s="15">
        <f t="shared" si="0"/>
        <v>892.52624999999989</v>
      </c>
      <c r="H8" s="10">
        <v>904</v>
      </c>
      <c r="I8" s="18">
        <f t="shared" si="2"/>
        <v>11.473750000000109</v>
      </c>
    </row>
    <row r="9" spans="1:10" s="8" customFormat="1">
      <c r="A9" s="9" t="s">
        <v>107</v>
      </c>
      <c r="B9" s="22">
        <v>6</v>
      </c>
      <c r="C9" s="22">
        <v>27.78</v>
      </c>
      <c r="D9" s="22">
        <v>11.2</v>
      </c>
      <c r="E9" s="9">
        <f t="shared" si="1"/>
        <v>1.3890000000000002</v>
      </c>
      <c r="F9" s="9">
        <f t="shared" si="3"/>
        <v>40.369000000000007</v>
      </c>
      <c r="G9" s="15">
        <f t="shared" si="0"/>
        <v>1465.3947000000001</v>
      </c>
      <c r="H9" s="10">
        <v>1485</v>
      </c>
      <c r="I9" s="18">
        <f t="shared" si="2"/>
        <v>19.605299999999943</v>
      </c>
    </row>
    <row r="10" spans="1:10" s="8" customFormat="1">
      <c r="A10" s="9" t="s">
        <v>86</v>
      </c>
      <c r="B10" s="25">
        <v>1</v>
      </c>
      <c r="C10" s="66">
        <v>8.4499999999999993</v>
      </c>
      <c r="D10" s="22">
        <v>2.8</v>
      </c>
      <c r="E10" s="9">
        <f t="shared" si="1"/>
        <v>0.42249999999999999</v>
      </c>
      <c r="F10" s="9">
        <f t="shared" si="3"/>
        <v>11.672499999999999</v>
      </c>
      <c r="G10" s="15">
        <f t="shared" si="0"/>
        <v>423.71174999999994</v>
      </c>
      <c r="H10" s="10">
        <v>429</v>
      </c>
      <c r="I10" s="18">
        <f t="shared" si="2"/>
        <v>5.2882500000000618</v>
      </c>
    </row>
    <row r="11" spans="1:10" s="8" customFormat="1">
      <c r="A11" s="9" t="s">
        <v>22</v>
      </c>
      <c r="B11" s="22">
        <v>14</v>
      </c>
      <c r="C11" s="22">
        <v>60.44</v>
      </c>
      <c r="D11" s="22">
        <v>19.600000000000001</v>
      </c>
      <c r="E11" s="9">
        <f t="shared" si="1"/>
        <v>3.0220000000000002</v>
      </c>
      <c r="F11" s="9">
        <f t="shared" si="3"/>
        <v>83.061999999999998</v>
      </c>
      <c r="G11" s="15">
        <f t="shared" si="0"/>
        <v>3015.1505999999995</v>
      </c>
      <c r="H11" s="10">
        <v>3054</v>
      </c>
      <c r="I11" s="18">
        <f t="shared" si="2"/>
        <v>38.849400000000514</v>
      </c>
    </row>
    <row r="12" spans="1:10" s="8" customFormat="1">
      <c r="A12" s="9" t="s">
        <v>33</v>
      </c>
      <c r="B12" s="22">
        <v>2</v>
      </c>
      <c r="C12" s="22">
        <v>11</v>
      </c>
      <c r="D12" s="22">
        <v>4.2</v>
      </c>
      <c r="E12" s="9">
        <f t="shared" si="1"/>
        <v>0.55000000000000004</v>
      </c>
      <c r="F12" s="9">
        <f t="shared" si="3"/>
        <v>15.75</v>
      </c>
      <c r="G12" s="15">
        <f t="shared" si="0"/>
        <v>571.72499999999991</v>
      </c>
      <c r="H12" s="10">
        <v>580</v>
      </c>
      <c r="I12" s="18">
        <f t="shared" si="2"/>
        <v>8.2750000000000909</v>
      </c>
    </row>
    <row r="13" spans="1:10" s="8" customFormat="1">
      <c r="A13" s="9" t="s">
        <v>24</v>
      </c>
      <c r="B13" s="22">
        <v>6</v>
      </c>
      <c r="C13" s="22">
        <v>32.700000000000003</v>
      </c>
      <c r="D13" s="22">
        <v>8.4</v>
      </c>
      <c r="E13" s="9">
        <f t="shared" ref="E13:E14" si="4">C13*0.05</f>
        <v>1.6350000000000002</v>
      </c>
      <c r="F13" s="9">
        <f t="shared" ref="F13:F14" si="5">C13+D13+E13</f>
        <v>42.734999999999999</v>
      </c>
      <c r="G13" s="15">
        <f t="shared" ref="G13:G14" si="6">F13*$D$1</f>
        <v>1551.2804999999998</v>
      </c>
      <c r="H13" s="10">
        <f>271+1300</f>
        <v>1571</v>
      </c>
      <c r="I13" s="18">
        <f t="shared" ref="I13:I14" si="7">-G13+H13</f>
        <v>19.719500000000153</v>
      </c>
      <c r="J13" s="42" t="s">
        <v>161</v>
      </c>
    </row>
    <row r="14" spans="1:10" s="8" customFormat="1">
      <c r="A14" s="9" t="s">
        <v>23</v>
      </c>
      <c r="B14" s="22">
        <v>2</v>
      </c>
      <c r="C14" s="22">
        <v>8.6999999999999993</v>
      </c>
      <c r="D14" s="22">
        <v>2.8</v>
      </c>
      <c r="E14" s="9">
        <f t="shared" si="4"/>
        <v>0.435</v>
      </c>
      <c r="F14" s="9">
        <f t="shared" si="5"/>
        <v>11.935</v>
      </c>
      <c r="G14" s="15">
        <f t="shared" si="6"/>
        <v>433.2405</v>
      </c>
      <c r="H14" s="10">
        <f>420-2</f>
        <v>418</v>
      </c>
      <c r="I14" s="18">
        <f t="shared" si="7"/>
        <v>-15.240499999999997</v>
      </c>
      <c r="J14" s="8" t="s">
        <v>191</v>
      </c>
    </row>
    <row r="15" spans="1:10" s="8" customFormat="1">
      <c r="A15" s="9" t="s">
        <v>155</v>
      </c>
      <c r="B15" s="24">
        <v>4</v>
      </c>
      <c r="C15" s="24">
        <v>18.100000000000001</v>
      </c>
      <c r="D15" s="22">
        <v>14</v>
      </c>
      <c r="E15" s="9">
        <f t="shared" si="1"/>
        <v>0.90500000000000014</v>
      </c>
      <c r="F15" s="9">
        <f t="shared" si="3"/>
        <v>33.005000000000003</v>
      </c>
      <c r="G15" s="15">
        <f t="shared" si="0"/>
        <v>1198.0815</v>
      </c>
      <c r="H15" s="10">
        <v>1214</v>
      </c>
      <c r="I15" s="18">
        <f t="shared" si="2"/>
        <v>15.918499999999995</v>
      </c>
    </row>
    <row r="16" spans="1:10" s="8" customFormat="1">
      <c r="A16" s="64" t="s">
        <v>10</v>
      </c>
      <c r="B16" s="46"/>
      <c r="C16" s="46"/>
      <c r="D16" s="47"/>
      <c r="E16" s="48"/>
      <c r="F16" s="48"/>
      <c r="G16" s="49"/>
      <c r="H16" s="50"/>
      <c r="I16" s="51"/>
    </row>
    <row r="18" spans="1:1" ht="26.25">
      <c r="A18" s="68"/>
    </row>
    <row r="19" spans="1:1" ht="26.25">
      <c r="A19" s="68"/>
    </row>
    <row r="20" spans="1:1" ht="26.25">
      <c r="A20" s="68" t="s">
        <v>157</v>
      </c>
    </row>
    <row r="21" spans="1:1">
      <c r="A21" s="71" t="s">
        <v>33</v>
      </c>
    </row>
    <row r="22" spans="1:1">
      <c r="A22" s="12" t="s">
        <v>158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sheetPr>
    <tabColor rgb="FFFF0000"/>
  </sheetPr>
  <dimension ref="A1:J27"/>
  <sheetViews>
    <sheetView workbookViewId="0">
      <selection activeCell="I23" sqref="I23"/>
    </sheetView>
  </sheetViews>
  <sheetFormatPr defaultRowHeight="15"/>
  <cols>
    <col min="1" max="1" width="19.28515625" customWidth="1"/>
    <col min="2" max="2" width="16.140625" customWidth="1"/>
    <col min="3" max="3" width="11.140625" customWidth="1"/>
    <col min="4" max="4" width="11" customWidth="1"/>
    <col min="7" max="7" width="8.5703125" customWidth="1"/>
    <col min="8" max="8" width="11.7109375" customWidth="1"/>
    <col min="10" max="10" width="36.7109375" customWidth="1"/>
  </cols>
  <sheetData>
    <row r="1" spans="1:10" s="5" customFormat="1" ht="21">
      <c r="A1" s="1" t="s">
        <v>0</v>
      </c>
      <c r="B1" s="2">
        <v>41703</v>
      </c>
      <c r="C1" s="3" t="s">
        <v>1</v>
      </c>
      <c r="D1" s="4">
        <v>36.94</v>
      </c>
      <c r="E1" s="5" t="s">
        <v>2</v>
      </c>
    </row>
    <row r="2" spans="1:10" s="5" customFormat="1">
      <c r="A2" s="62"/>
    </row>
    <row r="3" spans="1:10" s="8" customFormat="1" ht="45">
      <c r="A3" s="6" t="s">
        <v>3</v>
      </c>
      <c r="B3" s="7" t="s">
        <v>17</v>
      </c>
      <c r="C3" s="7" t="s">
        <v>4</v>
      </c>
      <c r="D3" s="7" t="s">
        <v>5</v>
      </c>
      <c r="E3" s="7" t="s">
        <v>19</v>
      </c>
      <c r="F3" s="6" t="s">
        <v>18</v>
      </c>
      <c r="G3" s="6" t="s">
        <v>6</v>
      </c>
      <c r="H3" s="6" t="s">
        <v>7</v>
      </c>
      <c r="I3" s="6" t="s">
        <v>95</v>
      </c>
    </row>
    <row r="4" spans="1:10" s="8" customFormat="1">
      <c r="A4" s="9" t="s">
        <v>165</v>
      </c>
      <c r="B4" s="29">
        <v>3</v>
      </c>
      <c r="C4" s="29">
        <v>9.75</v>
      </c>
      <c r="D4" s="29">
        <v>4.2</v>
      </c>
      <c r="E4" s="9">
        <f>C4*0.05</f>
        <v>0.48750000000000004</v>
      </c>
      <c r="F4" s="9">
        <f>C4+D4+E4</f>
        <v>14.4375</v>
      </c>
      <c r="G4" s="15">
        <f>F4*$D$1</f>
        <v>533.32124999999996</v>
      </c>
      <c r="H4" s="10">
        <f>535-2</f>
        <v>533</v>
      </c>
      <c r="I4" s="18">
        <f>-G4+H4</f>
        <v>-0.32124999999996362</v>
      </c>
      <c r="J4" s="40" t="s">
        <v>189</v>
      </c>
    </row>
    <row r="5" spans="1:10" s="8" customFormat="1">
      <c r="A5" s="9" t="s">
        <v>122</v>
      </c>
      <c r="B5" s="29">
        <v>6</v>
      </c>
      <c r="C5" s="29">
        <v>20.43</v>
      </c>
      <c r="D5" s="29">
        <v>8.4</v>
      </c>
      <c r="E5" s="9">
        <f>C5*0.05</f>
        <v>1.0215000000000001</v>
      </c>
      <c r="F5" s="9">
        <f>C5+D5+E5</f>
        <v>29.851499999999998</v>
      </c>
      <c r="G5" s="15">
        <f t="shared" ref="G5:G20" si="0">F5*$D$1</f>
        <v>1102.7144099999998</v>
      </c>
      <c r="H5" s="10">
        <v>1106</v>
      </c>
      <c r="I5" s="18">
        <f>-G5+H5</f>
        <v>3.2855900000001839</v>
      </c>
      <c r="J5" s="42"/>
    </row>
    <row r="6" spans="1:10" s="8" customFormat="1">
      <c r="A6" s="9" t="s">
        <v>166</v>
      </c>
      <c r="B6" s="31">
        <v>2</v>
      </c>
      <c r="C6" s="24">
        <v>13.2</v>
      </c>
      <c r="D6" s="22">
        <v>4.2</v>
      </c>
      <c r="E6" s="9">
        <f t="shared" ref="E6:E20" si="1">C6*0.05</f>
        <v>0.66</v>
      </c>
      <c r="F6" s="9">
        <f>C6+D6+E6</f>
        <v>18.059999999999999</v>
      </c>
      <c r="G6" s="15">
        <f t="shared" si="0"/>
        <v>667.13639999999987</v>
      </c>
      <c r="H6" s="10">
        <v>667</v>
      </c>
      <c r="I6" s="18">
        <f t="shared" ref="I6:I20" si="2">-G6+H6</f>
        <v>-0.13639999999986685</v>
      </c>
    </row>
    <row r="7" spans="1:10" s="8" customFormat="1">
      <c r="A7" s="9" t="s">
        <v>167</v>
      </c>
      <c r="B7" s="24">
        <v>1</v>
      </c>
      <c r="C7" s="24">
        <v>8.5</v>
      </c>
      <c r="D7" s="22">
        <v>2.8</v>
      </c>
      <c r="E7" s="9">
        <f t="shared" si="1"/>
        <v>0.42500000000000004</v>
      </c>
      <c r="F7" s="9">
        <f t="shared" ref="F7:F20" si="3">C7+D7+E7</f>
        <v>11.725000000000001</v>
      </c>
      <c r="G7" s="15">
        <f t="shared" si="0"/>
        <v>433.12150000000003</v>
      </c>
      <c r="H7" s="10">
        <f>430+3</f>
        <v>433</v>
      </c>
      <c r="I7" s="18">
        <f t="shared" si="2"/>
        <v>-0.12150000000002592</v>
      </c>
    </row>
    <row r="8" spans="1:10" s="8" customFormat="1">
      <c r="A8" s="9" t="s">
        <v>168</v>
      </c>
      <c r="B8" s="22">
        <v>3</v>
      </c>
      <c r="C8" s="22">
        <v>10.65</v>
      </c>
      <c r="D8" s="22">
        <v>4.2</v>
      </c>
      <c r="E8" s="9">
        <f t="shared" si="1"/>
        <v>0.53250000000000008</v>
      </c>
      <c r="F8" s="9">
        <f t="shared" si="3"/>
        <v>15.382500000000002</v>
      </c>
      <c r="G8" s="15">
        <f t="shared" si="0"/>
        <v>568.22955000000002</v>
      </c>
      <c r="H8" s="10">
        <v>787</v>
      </c>
      <c r="I8" s="18">
        <f t="shared" si="2"/>
        <v>218.77044999999998</v>
      </c>
    </row>
    <row r="9" spans="1:10" s="8" customFormat="1">
      <c r="A9" s="9" t="s">
        <v>11</v>
      </c>
      <c r="B9" s="22">
        <v>10</v>
      </c>
      <c r="C9" s="22">
        <v>63.1</v>
      </c>
      <c r="D9" s="22">
        <v>22.4</v>
      </c>
      <c r="E9" s="9">
        <f t="shared" si="1"/>
        <v>3.1550000000000002</v>
      </c>
      <c r="F9" s="9">
        <f t="shared" si="3"/>
        <v>88.655000000000001</v>
      </c>
      <c r="G9" s="15">
        <f t="shared" si="0"/>
        <v>3274.9157</v>
      </c>
      <c r="H9" s="10">
        <v>3274</v>
      </c>
      <c r="I9" s="18">
        <f t="shared" si="2"/>
        <v>-0.91570000000001528</v>
      </c>
    </row>
    <row r="10" spans="1:10" s="8" customFormat="1">
      <c r="A10" s="9" t="s">
        <v>169</v>
      </c>
      <c r="B10" s="25">
        <v>2</v>
      </c>
      <c r="C10" s="66">
        <v>3.7</v>
      </c>
      <c r="D10" s="22">
        <v>2.8</v>
      </c>
      <c r="E10" s="9">
        <f t="shared" si="1"/>
        <v>0.18500000000000003</v>
      </c>
      <c r="F10" s="9">
        <f t="shared" si="3"/>
        <v>6.6849999999999996</v>
      </c>
      <c r="G10" s="15">
        <f t="shared" si="0"/>
        <v>246.94389999999996</v>
      </c>
      <c r="H10" s="10">
        <v>248</v>
      </c>
      <c r="I10" s="18">
        <f>-G10+H10-1</f>
        <v>5.6100000000043337E-2</v>
      </c>
      <c r="J10" s="8" t="s">
        <v>180</v>
      </c>
    </row>
    <row r="11" spans="1:10" s="8" customFormat="1">
      <c r="A11" s="9" t="s">
        <v>170</v>
      </c>
      <c r="B11" s="22">
        <v>2</v>
      </c>
      <c r="C11" s="22">
        <v>3</v>
      </c>
      <c r="D11" s="22">
        <v>1.4</v>
      </c>
      <c r="E11" s="9">
        <f t="shared" si="1"/>
        <v>0.15000000000000002</v>
      </c>
      <c r="F11" s="9">
        <f t="shared" si="3"/>
        <v>4.5500000000000007</v>
      </c>
      <c r="G11" s="15">
        <f t="shared" si="0"/>
        <v>168.07700000000003</v>
      </c>
      <c r="H11" s="10">
        <v>169</v>
      </c>
      <c r="I11" s="18">
        <f t="shared" si="2"/>
        <v>0.9229999999999734</v>
      </c>
    </row>
    <row r="12" spans="1:10" s="8" customFormat="1" ht="30">
      <c r="A12" s="9" t="s">
        <v>171</v>
      </c>
      <c r="B12" s="22">
        <v>2</v>
      </c>
      <c r="C12" s="22">
        <v>8</v>
      </c>
      <c r="D12" s="22">
        <v>2.8</v>
      </c>
      <c r="E12" s="9">
        <f t="shared" ref="E12:E14" si="4">C12*0.05</f>
        <v>0.4</v>
      </c>
      <c r="F12" s="9">
        <f t="shared" ref="F12:F14" si="5">C12+D12+E12</f>
        <v>11.200000000000001</v>
      </c>
      <c r="G12" s="15">
        <f t="shared" ref="G12:G14" si="6">F12*$D$1</f>
        <v>413.72800000000001</v>
      </c>
      <c r="H12" s="10">
        <f>415+142-143</f>
        <v>414</v>
      </c>
      <c r="I12" s="18">
        <f t="shared" ref="I12:I14" si="7">-G12+H12</f>
        <v>0.27199999999999136</v>
      </c>
      <c r="J12" s="73" t="s">
        <v>181</v>
      </c>
    </row>
    <row r="13" spans="1:10" s="8" customFormat="1">
      <c r="A13" s="9" t="s">
        <v>172</v>
      </c>
      <c r="B13" s="22">
        <v>3</v>
      </c>
      <c r="C13" s="22">
        <v>11.5</v>
      </c>
      <c r="D13" s="22">
        <v>4.2</v>
      </c>
      <c r="E13" s="9">
        <f t="shared" si="4"/>
        <v>0.57500000000000007</v>
      </c>
      <c r="F13" s="9">
        <f t="shared" si="5"/>
        <v>16.274999999999999</v>
      </c>
      <c r="G13" s="15">
        <f t="shared" si="6"/>
        <v>601.19849999999997</v>
      </c>
      <c r="H13" s="10">
        <v>603</v>
      </c>
      <c r="I13" s="18">
        <f t="shared" si="7"/>
        <v>1.8015000000000327</v>
      </c>
    </row>
    <row r="14" spans="1:10" s="8" customFormat="1" ht="30">
      <c r="A14" s="9" t="s">
        <v>173</v>
      </c>
      <c r="B14" s="22">
        <v>5</v>
      </c>
      <c r="C14" s="22">
        <v>21.25</v>
      </c>
      <c r="D14" s="22">
        <v>7</v>
      </c>
      <c r="E14" s="9">
        <f t="shared" si="4"/>
        <v>1.0625</v>
      </c>
      <c r="F14" s="9">
        <f t="shared" si="5"/>
        <v>29.3125</v>
      </c>
      <c r="G14" s="15">
        <f t="shared" si="6"/>
        <v>1082.80375</v>
      </c>
      <c r="H14" s="10">
        <f>1245-45-117</f>
        <v>1083</v>
      </c>
      <c r="I14" s="18">
        <f t="shared" si="7"/>
        <v>0.19624999999996362</v>
      </c>
      <c r="J14" s="8" t="s">
        <v>190</v>
      </c>
    </row>
    <row r="15" spans="1:10" s="8" customFormat="1">
      <c r="A15" s="9" t="s">
        <v>108</v>
      </c>
      <c r="B15" s="22">
        <v>1</v>
      </c>
      <c r="C15" s="22">
        <v>4.7</v>
      </c>
      <c r="D15" s="22">
        <v>1.4</v>
      </c>
      <c r="E15" s="9">
        <f t="shared" ref="E15:E16" si="8">C15*0.05</f>
        <v>0.23500000000000001</v>
      </c>
      <c r="F15" s="9">
        <f t="shared" ref="F15:F16" si="9">C15+D15+E15</f>
        <v>6.335</v>
      </c>
      <c r="G15" s="15">
        <f t="shared" ref="G15:G16" si="10">F15*$D$1</f>
        <v>234.01489999999998</v>
      </c>
      <c r="H15" s="10">
        <v>235</v>
      </c>
      <c r="I15" s="18">
        <f t="shared" ref="I15:I16" si="11">-G15+H15</f>
        <v>0.98510000000001696</v>
      </c>
    </row>
    <row r="16" spans="1:10" s="8" customFormat="1">
      <c r="A16" s="9" t="s">
        <v>174</v>
      </c>
      <c r="B16" s="25">
        <v>1</v>
      </c>
      <c r="C16" s="66">
        <v>8.5</v>
      </c>
      <c r="D16" s="22">
        <v>2.8</v>
      </c>
      <c r="E16" s="9">
        <f t="shared" si="8"/>
        <v>0.42500000000000004</v>
      </c>
      <c r="F16" s="9">
        <f t="shared" si="9"/>
        <v>11.725000000000001</v>
      </c>
      <c r="G16" s="15">
        <f t="shared" si="10"/>
        <v>433.12150000000003</v>
      </c>
      <c r="H16" s="10">
        <v>500</v>
      </c>
      <c r="I16" s="18">
        <f t="shared" si="11"/>
        <v>66.878499999999974</v>
      </c>
    </row>
    <row r="17" spans="1:10" s="8" customFormat="1">
      <c r="A17" s="9" t="s">
        <v>175</v>
      </c>
      <c r="B17" s="22">
        <v>1</v>
      </c>
      <c r="C17" s="22">
        <v>9.98</v>
      </c>
      <c r="D17" s="22">
        <v>2.8</v>
      </c>
      <c r="E17" s="9">
        <f t="shared" si="1"/>
        <v>0.49900000000000005</v>
      </c>
      <c r="F17" s="9">
        <f t="shared" si="3"/>
        <v>13.279000000000002</v>
      </c>
      <c r="G17" s="15">
        <f t="shared" si="0"/>
        <v>490.52626000000004</v>
      </c>
      <c r="H17" s="10">
        <v>492</v>
      </c>
      <c r="I17" s="18">
        <f t="shared" si="2"/>
        <v>1.4737399999999639</v>
      </c>
    </row>
    <row r="18" spans="1:10" s="8" customFormat="1">
      <c r="A18" s="9" t="s">
        <v>41</v>
      </c>
      <c r="B18" s="22">
        <v>9</v>
      </c>
      <c r="C18" s="22">
        <v>49.35</v>
      </c>
      <c r="D18" s="22">
        <v>12.6</v>
      </c>
      <c r="E18" s="9">
        <f t="shared" si="1"/>
        <v>2.4675000000000002</v>
      </c>
      <c r="F18" s="9">
        <f t="shared" si="3"/>
        <v>64.417500000000004</v>
      </c>
      <c r="G18" s="15">
        <f t="shared" si="0"/>
        <v>2379.5824499999999</v>
      </c>
      <c r="H18" s="10">
        <f>2386+43</f>
        <v>2429</v>
      </c>
      <c r="I18" s="18">
        <f t="shared" si="2"/>
        <v>49.417550000000119</v>
      </c>
      <c r="J18" s="42"/>
    </row>
    <row r="19" spans="1:10" s="8" customFormat="1">
      <c r="A19" s="9" t="s">
        <v>177</v>
      </c>
      <c r="B19" s="22">
        <v>2</v>
      </c>
      <c r="C19" s="22">
        <v>10.9</v>
      </c>
      <c r="D19" s="22">
        <v>2.8</v>
      </c>
      <c r="E19" s="9">
        <f t="shared" si="1"/>
        <v>0.54500000000000004</v>
      </c>
      <c r="F19" s="9">
        <f t="shared" si="3"/>
        <v>14.244999999999999</v>
      </c>
      <c r="G19" s="15">
        <f t="shared" si="0"/>
        <v>526.21029999999996</v>
      </c>
      <c r="H19" s="10">
        <v>528</v>
      </c>
      <c r="I19" s="18">
        <f t="shared" si="2"/>
        <v>1.7897000000000389</v>
      </c>
    </row>
    <row r="20" spans="1:10" s="8" customFormat="1">
      <c r="A20" s="9" t="s">
        <v>176</v>
      </c>
      <c r="B20" s="24">
        <v>7</v>
      </c>
      <c r="C20" s="24">
        <v>39.35</v>
      </c>
      <c r="D20" s="22">
        <v>12.6</v>
      </c>
      <c r="E20" s="9">
        <f t="shared" si="1"/>
        <v>1.9675000000000002</v>
      </c>
      <c r="F20" s="9">
        <f t="shared" si="3"/>
        <v>53.917500000000004</v>
      </c>
      <c r="G20" s="15">
        <f t="shared" si="0"/>
        <v>1991.71245</v>
      </c>
      <c r="H20" s="10">
        <v>1997</v>
      </c>
      <c r="I20" s="18">
        <f t="shared" si="2"/>
        <v>5.2875500000000102</v>
      </c>
    </row>
    <row r="21" spans="1:10" s="8" customFormat="1">
      <c r="A21" s="64" t="s">
        <v>10</v>
      </c>
      <c r="B21" s="46"/>
      <c r="C21" s="46"/>
      <c r="D21" s="47"/>
      <c r="E21" s="48"/>
      <c r="F21" s="48"/>
      <c r="G21" s="49"/>
      <c r="H21" s="50"/>
      <c r="I21" s="51"/>
    </row>
    <row r="25" spans="1:10" ht="26.25">
      <c r="A25" s="68" t="s">
        <v>157</v>
      </c>
    </row>
    <row r="26" spans="1:10">
      <c r="A26" s="71" t="s">
        <v>39</v>
      </c>
    </row>
    <row r="27" spans="1:10">
      <c r="A27" s="72" t="s">
        <v>164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sheetPr>
    <tabColor rgb="FFFF0000"/>
  </sheetPr>
  <dimension ref="A1:J22"/>
  <sheetViews>
    <sheetView workbookViewId="0">
      <selection sqref="A1:XFD18"/>
    </sheetView>
  </sheetViews>
  <sheetFormatPr defaultRowHeight="15"/>
  <cols>
    <col min="1" max="1" width="15.5703125" customWidth="1"/>
    <col min="2" max="2" width="19.140625" customWidth="1"/>
    <col min="3" max="3" width="10.7109375" customWidth="1"/>
    <col min="4" max="4" width="11.140625" customWidth="1"/>
    <col min="8" max="8" width="11.28515625" customWidth="1"/>
    <col min="9" max="9" width="12" customWidth="1"/>
  </cols>
  <sheetData>
    <row r="1" spans="1:10" s="5" customFormat="1" ht="21">
      <c r="A1" s="1" t="s">
        <v>0</v>
      </c>
      <c r="B1" s="2">
        <v>41759</v>
      </c>
      <c r="C1" s="3" t="s">
        <v>1</v>
      </c>
      <c r="D1" s="4">
        <v>36.54</v>
      </c>
      <c r="E1" s="5" t="s">
        <v>2</v>
      </c>
    </row>
    <row r="2" spans="1:10" s="5" customFormat="1">
      <c r="A2" s="62"/>
    </row>
    <row r="3" spans="1:10" s="8" customFormat="1" ht="45">
      <c r="A3" s="6" t="s">
        <v>3</v>
      </c>
      <c r="B3" s="7" t="s">
        <v>17</v>
      </c>
      <c r="C3" s="7" t="s">
        <v>4</v>
      </c>
      <c r="D3" s="7" t="s">
        <v>5</v>
      </c>
      <c r="E3" s="7" t="s">
        <v>19</v>
      </c>
      <c r="F3" s="6" t="s">
        <v>18</v>
      </c>
      <c r="G3" s="6" t="s">
        <v>6</v>
      </c>
      <c r="H3" s="6" t="s">
        <v>7</v>
      </c>
      <c r="I3" s="6" t="s">
        <v>95</v>
      </c>
    </row>
    <row r="4" spans="1:10" s="8" customFormat="1">
      <c r="A4" s="74" t="s">
        <v>144</v>
      </c>
      <c r="B4" s="29">
        <v>4</v>
      </c>
      <c r="C4" s="29">
        <v>20</v>
      </c>
      <c r="D4" s="29">
        <v>5.6</v>
      </c>
      <c r="E4" s="9">
        <f>C4*0.1</f>
        <v>2</v>
      </c>
      <c r="F4" s="9">
        <f>C4+D4+E4</f>
        <v>27.6</v>
      </c>
      <c r="G4" s="15">
        <f>F4*$D$1</f>
        <v>1008.504</v>
      </c>
      <c r="H4" s="10">
        <v>1010</v>
      </c>
      <c r="I4" s="18">
        <f>-G4+H4</f>
        <v>1.4959999999999809</v>
      </c>
      <c r="J4" s="40"/>
    </row>
    <row r="5" spans="1:10" s="8" customFormat="1">
      <c r="A5" s="74" t="s">
        <v>166</v>
      </c>
      <c r="B5" s="29">
        <v>2</v>
      </c>
      <c r="C5" s="29">
        <v>17</v>
      </c>
      <c r="D5" s="29">
        <v>5.6</v>
      </c>
      <c r="E5" s="9">
        <f t="shared" ref="E5:E15" si="0">C5*0.1</f>
        <v>1.7000000000000002</v>
      </c>
      <c r="F5" s="9">
        <f>C5+D5+E5</f>
        <v>24.3</v>
      </c>
      <c r="G5" s="15">
        <f t="shared" ref="G5:G15" si="1">F5*$D$1</f>
        <v>887.92200000000003</v>
      </c>
      <c r="H5" s="10">
        <v>886</v>
      </c>
      <c r="I5" s="18">
        <f>-G5+H5</f>
        <v>-1.9220000000000255</v>
      </c>
      <c r="J5" s="42"/>
    </row>
    <row r="6" spans="1:10" s="8" customFormat="1">
      <c r="A6" s="74" t="s">
        <v>183</v>
      </c>
      <c r="B6" s="31">
        <v>8</v>
      </c>
      <c r="C6" s="24">
        <v>33.65</v>
      </c>
      <c r="D6" s="22">
        <v>28</v>
      </c>
      <c r="E6" s="9">
        <f t="shared" si="0"/>
        <v>3.3650000000000002</v>
      </c>
      <c r="F6" s="9">
        <f>C6+D6+E6</f>
        <v>65.015000000000001</v>
      </c>
      <c r="G6" s="15">
        <f t="shared" si="1"/>
        <v>2375.6480999999999</v>
      </c>
      <c r="H6" s="10">
        <v>2377</v>
      </c>
      <c r="I6" s="18">
        <f t="shared" ref="I6:I15" si="2">-G6+H6</f>
        <v>1.3519000000001142</v>
      </c>
    </row>
    <row r="7" spans="1:10" s="8" customFormat="1">
      <c r="A7" s="74" t="s">
        <v>130</v>
      </c>
      <c r="B7" s="24">
        <v>8</v>
      </c>
      <c r="C7" s="24">
        <v>33.380000000000003</v>
      </c>
      <c r="D7" s="22">
        <v>11.2</v>
      </c>
      <c r="E7" s="9">
        <f t="shared" si="0"/>
        <v>3.3380000000000005</v>
      </c>
      <c r="F7" s="9">
        <f t="shared" ref="F7:F15" si="3">C7+D7+E7</f>
        <v>47.917999999999999</v>
      </c>
      <c r="G7" s="15">
        <f t="shared" si="1"/>
        <v>1750.92372</v>
      </c>
      <c r="H7" s="10">
        <v>1746</v>
      </c>
      <c r="I7" s="18">
        <f t="shared" si="2"/>
        <v>-4.923720000000003</v>
      </c>
    </row>
    <row r="8" spans="1:10" s="8" customFormat="1">
      <c r="A8" s="74" t="s">
        <v>22</v>
      </c>
      <c r="B8" s="22">
        <v>7</v>
      </c>
      <c r="C8" s="22">
        <v>38.450000000000003</v>
      </c>
      <c r="D8" s="22">
        <v>11.2</v>
      </c>
      <c r="E8" s="9">
        <f t="shared" si="0"/>
        <v>3.8450000000000006</v>
      </c>
      <c r="F8" s="9">
        <f t="shared" si="3"/>
        <v>53.495000000000005</v>
      </c>
      <c r="G8" s="15">
        <f t="shared" si="1"/>
        <v>1954.7073</v>
      </c>
      <c r="H8" s="10">
        <v>1916</v>
      </c>
      <c r="I8" s="18">
        <f t="shared" si="2"/>
        <v>-38.707300000000032</v>
      </c>
    </row>
    <row r="9" spans="1:10" s="8" customFormat="1">
      <c r="A9" s="74" t="s">
        <v>24</v>
      </c>
      <c r="B9" s="22">
        <v>14</v>
      </c>
      <c r="C9" s="22">
        <v>70.5</v>
      </c>
      <c r="D9" s="22">
        <v>19.600000000000001</v>
      </c>
      <c r="E9" s="9">
        <f t="shared" si="0"/>
        <v>7.0500000000000007</v>
      </c>
      <c r="F9" s="9">
        <f t="shared" si="3"/>
        <v>97.149999999999991</v>
      </c>
      <c r="G9" s="15">
        <f t="shared" si="1"/>
        <v>3549.8609999999994</v>
      </c>
      <c r="H9" s="10">
        <f>1500+2030</f>
        <v>3530</v>
      </c>
      <c r="I9" s="18">
        <f t="shared" si="2"/>
        <v>-19.860999999999422</v>
      </c>
    </row>
    <row r="10" spans="1:10" s="8" customFormat="1">
      <c r="A10" s="74" t="s">
        <v>122</v>
      </c>
      <c r="B10" s="25">
        <v>3</v>
      </c>
      <c r="C10" s="66">
        <v>10.09</v>
      </c>
      <c r="D10" s="22">
        <v>4.2</v>
      </c>
      <c r="E10" s="9">
        <f t="shared" si="0"/>
        <v>1.0090000000000001</v>
      </c>
      <c r="F10" s="9">
        <f t="shared" si="3"/>
        <v>15.298999999999999</v>
      </c>
      <c r="G10" s="15">
        <f t="shared" si="1"/>
        <v>559.02545999999995</v>
      </c>
      <c r="H10" s="10">
        <v>559</v>
      </c>
      <c r="I10" s="18">
        <f>-G10+H10</f>
        <v>-2.5459999999952743E-2</v>
      </c>
    </row>
    <row r="11" spans="1:10" s="8" customFormat="1">
      <c r="A11" s="74" t="s">
        <v>35</v>
      </c>
      <c r="B11" s="22">
        <v>2</v>
      </c>
      <c r="C11" s="22">
        <v>8.85</v>
      </c>
      <c r="D11" s="22">
        <v>2.8</v>
      </c>
      <c r="E11" s="9">
        <f t="shared" si="0"/>
        <v>0.88500000000000001</v>
      </c>
      <c r="F11" s="9">
        <f t="shared" si="3"/>
        <v>12.534999999999998</v>
      </c>
      <c r="G11" s="15">
        <f t="shared" si="1"/>
        <v>458.02889999999991</v>
      </c>
      <c r="H11" s="10">
        <v>461</v>
      </c>
      <c r="I11" s="18">
        <f t="shared" si="2"/>
        <v>2.9711000000000922</v>
      </c>
    </row>
    <row r="12" spans="1:10" s="8" customFormat="1">
      <c r="A12" s="74" t="s">
        <v>184</v>
      </c>
      <c r="B12" s="22">
        <v>1</v>
      </c>
      <c r="C12" s="22">
        <v>3.25</v>
      </c>
      <c r="D12" s="22">
        <v>1.4</v>
      </c>
      <c r="E12" s="9">
        <f t="shared" si="0"/>
        <v>0.32500000000000001</v>
      </c>
      <c r="F12" s="9">
        <f t="shared" si="3"/>
        <v>4.9750000000000005</v>
      </c>
      <c r="G12" s="15">
        <f t="shared" si="1"/>
        <v>181.78650000000002</v>
      </c>
      <c r="H12" s="10">
        <v>182</v>
      </c>
      <c r="I12" s="18">
        <f t="shared" si="2"/>
        <v>0.21349999999998204</v>
      </c>
      <c r="J12" s="73"/>
    </row>
    <row r="13" spans="1:10" s="8" customFormat="1">
      <c r="A13" s="9" t="s">
        <v>188</v>
      </c>
      <c r="B13" s="22">
        <v>1</v>
      </c>
      <c r="C13" s="22">
        <v>4.25</v>
      </c>
      <c r="D13" s="22">
        <v>1.4</v>
      </c>
      <c r="E13" s="9">
        <f t="shared" si="0"/>
        <v>0.42500000000000004</v>
      </c>
      <c r="F13" s="9">
        <f t="shared" si="3"/>
        <v>6.0750000000000002</v>
      </c>
      <c r="G13" s="15">
        <f t="shared" si="1"/>
        <v>221.98050000000001</v>
      </c>
      <c r="H13" s="10">
        <v>10</v>
      </c>
      <c r="I13" s="18">
        <f t="shared" si="2"/>
        <v>-211.98050000000001</v>
      </c>
    </row>
    <row r="14" spans="1:10" s="8" customFormat="1">
      <c r="A14" s="74" t="s">
        <v>185</v>
      </c>
      <c r="B14" s="22">
        <v>5</v>
      </c>
      <c r="C14" s="22">
        <v>47.63</v>
      </c>
      <c r="D14" s="22">
        <v>7</v>
      </c>
      <c r="E14" s="9">
        <f t="shared" si="0"/>
        <v>4.7630000000000008</v>
      </c>
      <c r="F14" s="9">
        <f t="shared" si="3"/>
        <v>59.393000000000001</v>
      </c>
      <c r="G14" s="15">
        <f t="shared" si="1"/>
        <v>2170.2202200000002</v>
      </c>
      <c r="H14" s="10">
        <v>2170</v>
      </c>
      <c r="I14" s="18">
        <f t="shared" si="2"/>
        <v>-0.22022000000015396</v>
      </c>
    </row>
    <row r="15" spans="1:10" s="8" customFormat="1">
      <c r="A15" s="74" t="s">
        <v>186</v>
      </c>
      <c r="B15" s="22">
        <v>3</v>
      </c>
      <c r="C15" s="22">
        <v>12.75</v>
      </c>
      <c r="D15" s="22">
        <v>4.2</v>
      </c>
      <c r="E15" s="9">
        <f t="shared" si="0"/>
        <v>1.2750000000000001</v>
      </c>
      <c r="F15" s="9">
        <f t="shared" si="3"/>
        <v>18.224999999999998</v>
      </c>
      <c r="G15" s="15">
        <f t="shared" si="1"/>
        <v>665.94149999999991</v>
      </c>
      <c r="H15" s="10">
        <v>670</v>
      </c>
      <c r="I15" s="18">
        <f t="shared" si="2"/>
        <v>4.0585000000000946</v>
      </c>
    </row>
    <row r="16" spans="1:10" s="8" customFormat="1">
      <c r="A16" s="64" t="s">
        <v>10</v>
      </c>
      <c r="B16" s="46"/>
      <c r="C16" s="46"/>
      <c r="D16" s="47"/>
      <c r="E16" s="48"/>
      <c r="F16" s="48"/>
      <c r="G16" s="49"/>
      <c r="H16" s="50"/>
      <c r="I16" s="51"/>
    </row>
    <row r="18" spans="1:1" ht="26.25">
      <c r="A18" s="68" t="s">
        <v>157</v>
      </c>
    </row>
    <row r="19" spans="1:1">
      <c r="A19" s="71" t="s">
        <v>22</v>
      </c>
    </row>
    <row r="20" spans="1:1">
      <c r="A20" s="67" t="s">
        <v>182</v>
      </c>
    </row>
    <row r="21" spans="1:1" ht="26.25">
      <c r="A21" s="68"/>
    </row>
    <row r="22" spans="1:1" ht="26.25">
      <c r="A22" s="68"/>
    </row>
  </sheetData>
  <hyperlinks>
    <hyperlink ref="A11" r:id="rId1"/>
  </hyperlinks>
  <pageMargins left="0.7" right="0.7" top="0.75" bottom="0.75" header="0.3" footer="0.3"/>
  <pageSetup paperSize="9" orientation="portrait" r:id="rId2"/>
</worksheet>
</file>

<file path=xl/worksheets/sheet19.xml><?xml version="1.0" encoding="utf-8"?>
<worksheet xmlns="http://schemas.openxmlformats.org/spreadsheetml/2006/main" xmlns:r="http://schemas.openxmlformats.org/officeDocument/2006/relationships">
  <sheetPr>
    <tabColor rgb="FFFF0000"/>
  </sheetPr>
  <dimension ref="A1:J36"/>
  <sheetViews>
    <sheetView workbookViewId="0">
      <selection activeCell="A35" sqref="A35:XFD36"/>
    </sheetView>
  </sheetViews>
  <sheetFormatPr defaultRowHeight="15"/>
  <cols>
    <col min="1" max="1" width="15.5703125" customWidth="1"/>
    <col min="2" max="2" width="20.42578125" customWidth="1"/>
    <col min="8" max="8" width="11" customWidth="1"/>
    <col min="10" max="10" width="21.85546875" customWidth="1"/>
  </cols>
  <sheetData>
    <row r="1" spans="1:10" s="5" customFormat="1" ht="21">
      <c r="A1" s="1" t="s">
        <v>0</v>
      </c>
      <c r="B1" s="2">
        <v>41785</v>
      </c>
      <c r="C1" s="3" t="s">
        <v>1</v>
      </c>
      <c r="D1" s="4">
        <v>34.549999999999997</v>
      </c>
      <c r="E1" s="5" t="s">
        <v>2</v>
      </c>
    </row>
    <row r="2" spans="1:10" s="5" customFormat="1">
      <c r="A2" s="62"/>
    </row>
    <row r="3" spans="1:10" s="8" customFormat="1" ht="60">
      <c r="A3" s="6" t="s">
        <v>3</v>
      </c>
      <c r="B3" s="7" t="s">
        <v>17</v>
      </c>
      <c r="C3" s="7" t="s">
        <v>4</v>
      </c>
      <c r="D3" s="7" t="s">
        <v>5</v>
      </c>
      <c r="E3" s="7" t="s">
        <v>19</v>
      </c>
      <c r="F3" s="6" t="s">
        <v>18</v>
      </c>
      <c r="G3" s="6" t="s">
        <v>6</v>
      </c>
      <c r="H3" s="6" t="s">
        <v>7</v>
      </c>
      <c r="I3" s="6" t="s">
        <v>95</v>
      </c>
    </row>
    <row r="4" spans="1:10" s="8" customFormat="1" ht="30">
      <c r="A4" s="74" t="s">
        <v>173</v>
      </c>
      <c r="B4" s="24">
        <v>1</v>
      </c>
      <c r="C4" s="24">
        <v>4.7</v>
      </c>
      <c r="D4" s="24">
        <v>1.4</v>
      </c>
      <c r="E4" s="9">
        <f>C4*0.1</f>
        <v>0.47000000000000003</v>
      </c>
      <c r="F4" s="9">
        <f>C4+D4+E4</f>
        <v>6.5699999999999994</v>
      </c>
      <c r="G4" s="15">
        <f>F4*$D$1</f>
        <v>226.99349999999995</v>
      </c>
      <c r="H4" s="10">
        <v>227</v>
      </c>
      <c r="I4" s="18">
        <f>-G4+H4</f>
        <v>6.5000000000452474E-3</v>
      </c>
      <c r="J4" s="40"/>
    </row>
    <row r="5" spans="1:10" s="8" customFormat="1">
      <c r="A5" s="74" t="s">
        <v>22</v>
      </c>
      <c r="B5" s="24">
        <v>1</v>
      </c>
      <c r="C5" s="24">
        <v>6</v>
      </c>
      <c r="D5" s="29">
        <v>4.2</v>
      </c>
      <c r="E5" s="9">
        <f t="shared" ref="E5:E19" si="0">C5*0.1</f>
        <v>0.60000000000000009</v>
      </c>
      <c r="F5" s="9">
        <f>C5+D5+E5</f>
        <v>10.799999999999999</v>
      </c>
      <c r="G5" s="15">
        <f t="shared" ref="G5:G19" si="1">F5*$D$1</f>
        <v>373.13999999999993</v>
      </c>
      <c r="H5" s="10">
        <v>373</v>
      </c>
      <c r="I5" s="18">
        <f>-G5+H5</f>
        <v>-0.13999999999992951</v>
      </c>
      <c r="J5" s="42"/>
    </row>
    <row r="6" spans="1:10" s="8" customFormat="1">
      <c r="A6" s="74" t="s">
        <v>46</v>
      </c>
      <c r="B6" s="24">
        <v>1</v>
      </c>
      <c r="C6" s="24">
        <v>4.7</v>
      </c>
      <c r="D6" s="24">
        <v>1.4</v>
      </c>
      <c r="E6" s="9">
        <f t="shared" si="0"/>
        <v>0.47000000000000003</v>
      </c>
      <c r="F6" s="9">
        <f>C6+D6+E6</f>
        <v>6.5699999999999994</v>
      </c>
      <c r="G6" s="15">
        <f t="shared" si="1"/>
        <v>226.99349999999995</v>
      </c>
      <c r="H6" s="10">
        <v>300</v>
      </c>
      <c r="I6" s="18">
        <f t="shared" ref="I6:I19" si="2">-G6+H6</f>
        <v>73.006500000000045</v>
      </c>
    </row>
    <row r="7" spans="1:10" s="8" customFormat="1">
      <c r="A7" s="74" t="s">
        <v>144</v>
      </c>
      <c r="B7" s="24">
        <v>5</v>
      </c>
      <c r="C7" s="24">
        <v>19.25</v>
      </c>
      <c r="D7" s="22">
        <v>7</v>
      </c>
      <c r="E7" s="9">
        <f t="shared" si="0"/>
        <v>1.925</v>
      </c>
      <c r="F7" s="9">
        <f t="shared" ref="F7:F19" si="3">C7+D7+E7</f>
        <v>28.175000000000001</v>
      </c>
      <c r="G7" s="15">
        <f t="shared" si="1"/>
        <v>973.44624999999996</v>
      </c>
      <c r="H7" s="10">
        <v>961</v>
      </c>
      <c r="I7" s="18">
        <f t="shared" si="2"/>
        <v>-12.446249999999964</v>
      </c>
    </row>
    <row r="8" spans="1:10" s="8" customFormat="1">
      <c r="A8" s="74" t="s">
        <v>83</v>
      </c>
      <c r="B8" s="31">
        <v>1</v>
      </c>
      <c r="C8" s="31">
        <v>3.25</v>
      </c>
      <c r="D8" s="24">
        <v>1.4</v>
      </c>
      <c r="E8" s="9">
        <f t="shared" si="0"/>
        <v>0.32500000000000001</v>
      </c>
      <c r="F8" s="9">
        <f t="shared" si="3"/>
        <v>4.9750000000000005</v>
      </c>
      <c r="G8" s="15">
        <f t="shared" si="1"/>
        <v>171.88625000000002</v>
      </c>
      <c r="H8" s="10">
        <v>172</v>
      </c>
      <c r="I8" s="18">
        <f t="shared" si="2"/>
        <v>0.11374999999998181</v>
      </c>
    </row>
    <row r="9" spans="1:10" s="8" customFormat="1">
      <c r="A9" s="74" t="s">
        <v>166</v>
      </c>
      <c r="B9" s="22">
        <v>2</v>
      </c>
      <c r="C9" s="22">
        <v>8.85</v>
      </c>
      <c r="D9" s="22">
        <v>2.8</v>
      </c>
      <c r="E9" s="9">
        <f t="shared" si="0"/>
        <v>0.88500000000000001</v>
      </c>
      <c r="F9" s="9">
        <f t="shared" si="3"/>
        <v>12.534999999999998</v>
      </c>
      <c r="G9" s="15">
        <f t="shared" si="1"/>
        <v>433.08424999999988</v>
      </c>
      <c r="H9" s="10">
        <v>434</v>
      </c>
      <c r="I9" s="18">
        <f t="shared" si="2"/>
        <v>0.91575000000011642</v>
      </c>
    </row>
    <row r="10" spans="1:10" s="8" customFormat="1">
      <c r="A10" s="74" t="s">
        <v>194</v>
      </c>
      <c r="B10" s="31">
        <v>1</v>
      </c>
      <c r="C10" s="31">
        <v>2.85</v>
      </c>
      <c r="D10" s="24">
        <v>1.4</v>
      </c>
      <c r="E10" s="9">
        <f t="shared" si="0"/>
        <v>0.28500000000000003</v>
      </c>
      <c r="F10" s="9">
        <f t="shared" si="3"/>
        <v>4.5350000000000001</v>
      </c>
      <c r="G10" s="15">
        <f t="shared" si="1"/>
        <v>156.68424999999999</v>
      </c>
      <c r="H10" s="10">
        <v>157</v>
      </c>
      <c r="I10" s="18">
        <f>-G10+H10</f>
        <v>0.31575000000000841</v>
      </c>
    </row>
    <row r="11" spans="1:10" s="8" customFormat="1">
      <c r="A11" s="74" t="s">
        <v>195</v>
      </c>
      <c r="B11" s="22">
        <v>7</v>
      </c>
      <c r="C11" s="22">
        <v>25.15</v>
      </c>
      <c r="D11" s="22">
        <v>16.8</v>
      </c>
      <c r="E11" s="9">
        <f t="shared" si="0"/>
        <v>2.5150000000000001</v>
      </c>
      <c r="F11" s="9">
        <f t="shared" si="3"/>
        <v>44.465000000000003</v>
      </c>
      <c r="G11" s="15">
        <f t="shared" si="1"/>
        <v>1536.26575</v>
      </c>
      <c r="H11" s="10">
        <f>1500+36</f>
        <v>1536</v>
      </c>
      <c r="I11" s="18">
        <f t="shared" si="2"/>
        <v>-0.26575000000002547</v>
      </c>
    </row>
    <row r="12" spans="1:10" s="8" customFormat="1">
      <c r="A12" s="74" t="s">
        <v>24</v>
      </c>
      <c r="B12" s="22">
        <v>2</v>
      </c>
      <c r="C12" s="22">
        <v>10.9</v>
      </c>
      <c r="D12" s="22">
        <v>2.8</v>
      </c>
      <c r="E12" s="9">
        <f t="shared" ref="E12:E15" si="4">C12*0.1</f>
        <v>1.0900000000000001</v>
      </c>
      <c r="F12" s="9">
        <f t="shared" ref="F12:F15" si="5">C12+D12+E12</f>
        <v>14.79</v>
      </c>
      <c r="G12" s="15">
        <f t="shared" ref="G12:G15" si="6">F12*$D$1</f>
        <v>510.9944999999999</v>
      </c>
      <c r="H12" s="10">
        <f>360+151</f>
        <v>511</v>
      </c>
      <c r="I12" s="18">
        <f t="shared" ref="I12:I13" si="7">-G12+H12</f>
        <v>5.5000000000973159E-3</v>
      </c>
    </row>
    <row r="13" spans="1:10" s="8" customFormat="1">
      <c r="A13" s="74" t="s">
        <v>183</v>
      </c>
      <c r="B13" s="22">
        <v>7</v>
      </c>
      <c r="C13" s="22">
        <v>30.95</v>
      </c>
      <c r="D13" s="22">
        <v>9.8000000000000007</v>
      </c>
      <c r="E13" s="9">
        <f t="shared" si="4"/>
        <v>3.0950000000000002</v>
      </c>
      <c r="F13" s="9">
        <f t="shared" si="5"/>
        <v>43.844999999999999</v>
      </c>
      <c r="G13" s="15">
        <f t="shared" si="6"/>
        <v>1514.8447499999997</v>
      </c>
      <c r="H13" s="10">
        <v>1516</v>
      </c>
      <c r="I13" s="18">
        <f t="shared" si="7"/>
        <v>1.155250000000251</v>
      </c>
    </row>
    <row r="14" spans="1:10" s="8" customFormat="1" ht="30">
      <c r="A14" s="74" t="s">
        <v>86</v>
      </c>
      <c r="B14" s="25">
        <v>2</v>
      </c>
      <c r="C14" s="66">
        <v>13.95</v>
      </c>
      <c r="D14" s="22">
        <v>4.2</v>
      </c>
      <c r="E14" s="9">
        <f t="shared" si="4"/>
        <v>1.395</v>
      </c>
      <c r="F14" s="9">
        <f t="shared" si="5"/>
        <v>19.544999999999998</v>
      </c>
      <c r="G14" s="15">
        <f t="shared" si="6"/>
        <v>675.27974999999992</v>
      </c>
      <c r="H14" s="10">
        <f>676+4+4</f>
        <v>684</v>
      </c>
      <c r="I14" s="18">
        <f>-G14+H14</f>
        <v>8.7202500000000782</v>
      </c>
      <c r="J14" s="75" t="s">
        <v>203</v>
      </c>
    </row>
    <row r="15" spans="1:10" s="8" customFormat="1">
      <c r="A15" s="74" t="s">
        <v>196</v>
      </c>
      <c r="B15" s="22">
        <v>4</v>
      </c>
      <c r="C15" s="22">
        <v>20.85</v>
      </c>
      <c r="D15" s="22">
        <v>12.6</v>
      </c>
      <c r="E15" s="9">
        <f t="shared" si="4"/>
        <v>2.0850000000000004</v>
      </c>
      <c r="F15" s="9">
        <f t="shared" si="5"/>
        <v>35.535000000000004</v>
      </c>
      <c r="G15" s="15">
        <f t="shared" si="6"/>
        <v>1227.73425</v>
      </c>
      <c r="H15" s="10">
        <v>1230</v>
      </c>
      <c r="I15" s="18">
        <f t="shared" ref="I15" si="8">-G15+H15</f>
        <v>2.2657500000000255</v>
      </c>
    </row>
    <row r="16" spans="1:10" s="8" customFormat="1">
      <c r="A16" s="74" t="s">
        <v>197</v>
      </c>
      <c r="B16" s="22">
        <v>2</v>
      </c>
      <c r="C16" s="22">
        <v>5.89</v>
      </c>
      <c r="D16" s="22">
        <v>2.8</v>
      </c>
      <c r="E16" s="9">
        <f t="shared" si="0"/>
        <v>0.58899999999999997</v>
      </c>
      <c r="F16" s="9">
        <f t="shared" si="3"/>
        <v>9.2789999999999999</v>
      </c>
      <c r="G16" s="15">
        <f t="shared" si="1"/>
        <v>320.58944999999994</v>
      </c>
      <c r="H16" s="10">
        <v>321</v>
      </c>
      <c r="I16" s="18">
        <f t="shared" si="2"/>
        <v>0.41055000000005748</v>
      </c>
      <c r="J16" s="73"/>
    </row>
    <row r="17" spans="1:9" s="8" customFormat="1">
      <c r="A17" s="9" t="s">
        <v>16</v>
      </c>
      <c r="B17" s="22">
        <v>2</v>
      </c>
      <c r="C17" s="22">
        <v>15.2</v>
      </c>
      <c r="D17" s="22">
        <v>4.2</v>
      </c>
      <c r="E17" s="9">
        <f t="shared" si="0"/>
        <v>1.52</v>
      </c>
      <c r="F17" s="9">
        <f t="shared" si="3"/>
        <v>20.919999999999998</v>
      </c>
      <c r="G17" s="15">
        <f t="shared" si="1"/>
        <v>722.78599999999983</v>
      </c>
      <c r="H17" s="10">
        <v>722</v>
      </c>
      <c r="I17" s="18">
        <f t="shared" si="2"/>
        <v>-0.78599999999983083</v>
      </c>
    </row>
    <row r="18" spans="1:9" s="8" customFormat="1">
      <c r="A18" s="74" t="s">
        <v>198</v>
      </c>
      <c r="B18" s="22">
        <v>3</v>
      </c>
      <c r="C18" s="22">
        <v>16.350000000000001</v>
      </c>
      <c r="D18" s="22">
        <v>4.2</v>
      </c>
      <c r="E18" s="9">
        <f t="shared" si="0"/>
        <v>1.6350000000000002</v>
      </c>
      <c r="F18" s="9">
        <f t="shared" si="3"/>
        <v>22.185000000000002</v>
      </c>
      <c r="G18" s="15">
        <f t="shared" si="1"/>
        <v>766.49175000000002</v>
      </c>
      <c r="H18" s="10">
        <v>767</v>
      </c>
      <c r="I18" s="18">
        <f t="shared" si="2"/>
        <v>0.50824999999997544</v>
      </c>
    </row>
    <row r="19" spans="1:9" s="8" customFormat="1">
      <c r="A19" s="74" t="s">
        <v>199</v>
      </c>
      <c r="B19" s="22">
        <v>6</v>
      </c>
      <c r="C19" s="22">
        <v>32.700000000000003</v>
      </c>
      <c r="D19" s="22">
        <v>8.4</v>
      </c>
      <c r="E19" s="9">
        <f t="shared" si="0"/>
        <v>3.2700000000000005</v>
      </c>
      <c r="F19" s="9">
        <f t="shared" si="3"/>
        <v>44.370000000000005</v>
      </c>
      <c r="G19" s="15">
        <f t="shared" si="1"/>
        <v>1532.9835</v>
      </c>
      <c r="H19" s="10">
        <v>1535</v>
      </c>
      <c r="I19" s="18">
        <f t="shared" si="2"/>
        <v>2.0164999999999509</v>
      </c>
    </row>
    <row r="20" spans="1:9" s="8" customFormat="1">
      <c r="A20" s="74" t="s">
        <v>122</v>
      </c>
      <c r="B20" s="22">
        <v>1</v>
      </c>
      <c r="C20" s="24">
        <v>1.85</v>
      </c>
      <c r="D20" s="24">
        <v>1.4</v>
      </c>
      <c r="E20" s="9">
        <f t="shared" ref="E20" si="9">C20*0.1</f>
        <v>0.18500000000000003</v>
      </c>
      <c r="F20" s="9">
        <f t="shared" ref="F20" si="10">C20+D20+E20</f>
        <v>3.4350000000000001</v>
      </c>
      <c r="G20" s="15">
        <f t="shared" ref="G20" si="11">F20*$D$1</f>
        <v>118.67925</v>
      </c>
      <c r="H20" s="10">
        <v>95</v>
      </c>
      <c r="I20" s="18">
        <f t="shared" ref="I20" si="12">-G20+H20</f>
        <v>-23.679249999999996</v>
      </c>
    </row>
    <row r="21" spans="1:9" s="8" customFormat="1">
      <c r="A21" s="64"/>
      <c r="B21" s="46"/>
      <c r="C21" s="46"/>
      <c r="D21" s="47"/>
      <c r="E21" s="48"/>
      <c r="F21" s="48"/>
      <c r="G21" s="49"/>
      <c r="H21" s="50"/>
      <c r="I21" s="51"/>
    </row>
    <row r="23" spans="1:9" ht="26.25">
      <c r="A23" s="68" t="s">
        <v>157</v>
      </c>
    </row>
    <row r="24" spans="1:9">
      <c r="A24" s="71" t="s">
        <v>16</v>
      </c>
    </row>
    <row r="25" spans="1:9">
      <c r="A25" s="23" t="s">
        <v>192</v>
      </c>
    </row>
    <row r="26" spans="1:9">
      <c r="A26" s="71" t="s">
        <v>166</v>
      </c>
    </row>
    <row r="27" spans="1:9">
      <c r="A27" s="23" t="s">
        <v>193</v>
      </c>
    </row>
    <row r="35" spans="1:1" ht="26.25">
      <c r="A35" s="68"/>
    </row>
    <row r="36" spans="1:1" ht="26.25">
      <c r="A36" s="68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00"/>
  </sheetPr>
  <dimension ref="A1"/>
  <sheetViews>
    <sheetView workbookViewId="0">
      <selection activeCell="B28" sqref="B28"/>
    </sheetView>
  </sheetViews>
  <sheetFormatPr defaultRowHeight="15"/>
  <sheetData/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>
  <sheetPr>
    <tabColor rgb="FFFF0000"/>
  </sheetPr>
  <dimension ref="A1:J24"/>
  <sheetViews>
    <sheetView workbookViewId="0">
      <selection sqref="A1:XFD24"/>
    </sheetView>
  </sheetViews>
  <sheetFormatPr defaultRowHeight="15"/>
  <cols>
    <col min="1" max="1" width="15.5703125" customWidth="1"/>
    <col min="2" max="2" width="20.42578125" customWidth="1"/>
    <col min="3" max="3" width="12.5703125" customWidth="1"/>
    <col min="4" max="4" width="13" customWidth="1"/>
    <col min="8" max="8" width="11" customWidth="1"/>
    <col min="10" max="10" width="21.85546875" customWidth="1"/>
  </cols>
  <sheetData>
    <row r="1" spans="1:10" s="5" customFormat="1" ht="21">
      <c r="A1" s="1" t="s">
        <v>0</v>
      </c>
      <c r="B1" s="2">
        <v>41864</v>
      </c>
      <c r="C1" s="3" t="s">
        <v>1</v>
      </c>
      <c r="D1" s="4">
        <v>36.840000000000003</v>
      </c>
      <c r="E1" s="5" t="s">
        <v>2</v>
      </c>
    </row>
    <row r="2" spans="1:10" s="5" customFormat="1">
      <c r="A2" s="62"/>
    </row>
    <row r="3" spans="1:10" s="8" customFormat="1" ht="45">
      <c r="A3" s="6" t="s">
        <v>3</v>
      </c>
      <c r="B3" s="7" t="s">
        <v>17</v>
      </c>
      <c r="C3" s="7" t="s">
        <v>4</v>
      </c>
      <c r="D3" s="7" t="s">
        <v>5</v>
      </c>
      <c r="E3" s="7" t="s">
        <v>19</v>
      </c>
      <c r="F3" s="6" t="s">
        <v>18</v>
      </c>
      <c r="G3" s="6" t="s">
        <v>6</v>
      </c>
      <c r="H3" s="6" t="s">
        <v>7</v>
      </c>
      <c r="I3" s="6" t="s">
        <v>95</v>
      </c>
    </row>
    <row r="4" spans="1:10" s="8" customFormat="1">
      <c r="A4" s="74" t="s">
        <v>183</v>
      </c>
      <c r="B4" s="24">
        <v>1</v>
      </c>
      <c r="C4" s="24">
        <v>5.45</v>
      </c>
      <c r="D4" s="22">
        <v>1.4</v>
      </c>
      <c r="E4" s="9">
        <f>C4*0.1</f>
        <v>0.54500000000000004</v>
      </c>
      <c r="F4" s="9">
        <f>C4+D4+E4</f>
        <v>7.3949999999999996</v>
      </c>
      <c r="G4" s="15">
        <f>F4*$D$1</f>
        <v>272.43180000000001</v>
      </c>
      <c r="H4" s="10">
        <v>270</v>
      </c>
      <c r="I4" s="18">
        <f>-G4+H4</f>
        <v>-2.4318000000000097</v>
      </c>
      <c r="J4" s="40"/>
    </row>
    <row r="5" spans="1:10" s="8" customFormat="1">
      <c r="A5" s="74" t="s">
        <v>204</v>
      </c>
      <c r="B5" s="24">
        <v>1</v>
      </c>
      <c r="C5" s="24">
        <v>4.99</v>
      </c>
      <c r="D5" s="22">
        <v>1.4</v>
      </c>
      <c r="E5" s="9">
        <f t="shared" ref="E5:E23" si="0">C5*0.1</f>
        <v>0.49900000000000005</v>
      </c>
      <c r="F5" s="9">
        <f>C5+D5+E5</f>
        <v>6.8890000000000002</v>
      </c>
      <c r="G5" s="15">
        <f t="shared" ref="G5:G23" si="1">F5*$D$1</f>
        <v>253.79076000000003</v>
      </c>
      <c r="H5" s="10">
        <v>237</v>
      </c>
      <c r="I5" s="18">
        <f>-G5+H5</f>
        <v>-16.790760000000034</v>
      </c>
      <c r="J5" s="42"/>
    </row>
    <row r="6" spans="1:10" s="8" customFormat="1">
      <c r="A6" s="74" t="s">
        <v>107</v>
      </c>
      <c r="B6" s="24">
        <v>3</v>
      </c>
      <c r="C6" s="24">
        <v>15.15</v>
      </c>
      <c r="D6" s="22">
        <v>4.2</v>
      </c>
      <c r="E6" s="9">
        <f t="shared" si="0"/>
        <v>1.5150000000000001</v>
      </c>
      <c r="F6" s="9">
        <f>C6+D6+E6</f>
        <v>20.865000000000002</v>
      </c>
      <c r="G6" s="15">
        <f t="shared" si="1"/>
        <v>768.66660000000013</v>
      </c>
      <c r="H6" s="10">
        <v>768</v>
      </c>
      <c r="I6" s="18">
        <f t="shared" ref="I6:I23" si="2">-G6+H6</f>
        <v>-0.66660000000013042</v>
      </c>
    </row>
    <row r="7" spans="1:10" s="8" customFormat="1">
      <c r="A7" s="74" t="s">
        <v>83</v>
      </c>
      <c r="B7" s="24">
        <v>2</v>
      </c>
      <c r="C7" s="24">
        <v>8.24</v>
      </c>
      <c r="D7" s="22">
        <v>2.8</v>
      </c>
      <c r="E7" s="9">
        <f t="shared" si="0"/>
        <v>0.82400000000000007</v>
      </c>
      <c r="F7" s="9">
        <f t="shared" ref="F7:F23" si="3">C7+D7+E7</f>
        <v>11.863999999999999</v>
      </c>
      <c r="G7" s="15">
        <f t="shared" si="1"/>
        <v>437.06976000000003</v>
      </c>
      <c r="H7" s="10">
        <f>406+35</f>
        <v>441</v>
      </c>
      <c r="I7" s="18">
        <f t="shared" si="2"/>
        <v>3.9302399999999693</v>
      </c>
    </row>
    <row r="8" spans="1:10" s="8" customFormat="1">
      <c r="A8" s="74" t="s">
        <v>166</v>
      </c>
      <c r="B8" s="31">
        <v>1</v>
      </c>
      <c r="C8" s="31">
        <v>2.99</v>
      </c>
      <c r="D8" s="24">
        <v>1.4</v>
      </c>
      <c r="E8" s="9">
        <f t="shared" si="0"/>
        <v>0.29900000000000004</v>
      </c>
      <c r="F8" s="9">
        <f t="shared" si="3"/>
        <v>4.6890000000000009</v>
      </c>
      <c r="G8" s="15">
        <f t="shared" si="1"/>
        <v>172.74276000000006</v>
      </c>
      <c r="H8" s="10">
        <v>172</v>
      </c>
      <c r="I8" s="18">
        <f t="shared" si="2"/>
        <v>-0.74276000000006093</v>
      </c>
    </row>
    <row r="9" spans="1:10" s="8" customFormat="1">
      <c r="A9" s="74" t="s">
        <v>165</v>
      </c>
      <c r="B9" s="22">
        <v>2</v>
      </c>
      <c r="C9" s="22">
        <v>10.9</v>
      </c>
      <c r="D9" s="22">
        <v>2.8</v>
      </c>
      <c r="E9" s="9">
        <f t="shared" si="0"/>
        <v>1.0900000000000001</v>
      </c>
      <c r="F9" s="9">
        <f t="shared" si="3"/>
        <v>14.79</v>
      </c>
      <c r="G9" s="15">
        <f t="shared" si="1"/>
        <v>544.86360000000002</v>
      </c>
      <c r="H9" s="10">
        <f>544+1</f>
        <v>545</v>
      </c>
      <c r="I9" s="18">
        <f t="shared" si="2"/>
        <v>0.13639999999998054</v>
      </c>
    </row>
    <row r="10" spans="1:10" s="8" customFormat="1">
      <c r="A10" s="74" t="s">
        <v>42</v>
      </c>
      <c r="B10" s="31">
        <v>8</v>
      </c>
      <c r="C10" s="31">
        <v>36.46</v>
      </c>
      <c r="D10" s="24">
        <v>11.2</v>
      </c>
      <c r="E10" s="9">
        <f t="shared" si="0"/>
        <v>3.6460000000000004</v>
      </c>
      <c r="F10" s="9">
        <f t="shared" si="3"/>
        <v>51.305999999999997</v>
      </c>
      <c r="G10" s="15">
        <f t="shared" si="1"/>
        <v>1890.1130400000002</v>
      </c>
      <c r="H10" s="10">
        <f>1848+42</f>
        <v>1890</v>
      </c>
      <c r="I10" s="18">
        <f>-G10+H10</f>
        <v>-0.11304000000018277</v>
      </c>
    </row>
    <row r="11" spans="1:10" s="8" customFormat="1">
      <c r="A11" s="74" t="s">
        <v>24</v>
      </c>
      <c r="B11" s="22">
        <v>2</v>
      </c>
      <c r="C11" s="22">
        <v>10.9</v>
      </c>
      <c r="D11" s="22">
        <v>2.8</v>
      </c>
      <c r="E11" s="9">
        <f t="shared" si="0"/>
        <v>1.0900000000000001</v>
      </c>
      <c r="F11" s="9">
        <f t="shared" si="3"/>
        <v>14.79</v>
      </c>
      <c r="G11" s="15">
        <f t="shared" si="1"/>
        <v>544.86360000000002</v>
      </c>
      <c r="H11" s="10">
        <v>544</v>
      </c>
      <c r="I11" s="18">
        <f t="shared" si="2"/>
        <v>-0.86360000000001946</v>
      </c>
    </row>
    <row r="12" spans="1:10" s="8" customFormat="1">
      <c r="A12" s="74" t="s">
        <v>205</v>
      </c>
      <c r="B12" s="22">
        <v>3</v>
      </c>
      <c r="C12" s="22">
        <v>16.350000000000001</v>
      </c>
      <c r="D12" s="22">
        <v>4.2</v>
      </c>
      <c r="E12" s="9">
        <f t="shared" si="0"/>
        <v>1.6350000000000002</v>
      </c>
      <c r="F12" s="9">
        <f t="shared" si="3"/>
        <v>22.185000000000002</v>
      </c>
      <c r="G12" s="15">
        <f t="shared" si="1"/>
        <v>817.2954000000002</v>
      </c>
      <c r="H12" s="10">
        <v>817</v>
      </c>
      <c r="I12" s="18">
        <f t="shared" si="2"/>
        <v>-0.29540000000019973</v>
      </c>
    </row>
    <row r="13" spans="1:10" s="8" customFormat="1">
      <c r="A13" s="74" t="s">
        <v>196</v>
      </c>
      <c r="B13" s="22">
        <v>2</v>
      </c>
      <c r="C13" s="22">
        <v>10.9</v>
      </c>
      <c r="D13" s="22">
        <v>2.8</v>
      </c>
      <c r="E13" s="9">
        <f t="shared" si="0"/>
        <v>1.0900000000000001</v>
      </c>
      <c r="F13" s="9">
        <f t="shared" si="3"/>
        <v>14.79</v>
      </c>
      <c r="G13" s="15">
        <f t="shared" si="1"/>
        <v>544.86360000000002</v>
      </c>
      <c r="H13" s="10">
        <f>542+1</f>
        <v>543</v>
      </c>
      <c r="I13" s="18">
        <f t="shared" si="2"/>
        <v>-1.8636000000000195</v>
      </c>
    </row>
    <row r="14" spans="1:10" s="8" customFormat="1">
      <c r="A14" s="74" t="s">
        <v>16</v>
      </c>
      <c r="B14" s="25">
        <v>2</v>
      </c>
      <c r="C14" s="66">
        <v>4.99</v>
      </c>
      <c r="D14" s="22">
        <v>2.8</v>
      </c>
      <c r="E14" s="9">
        <f t="shared" si="0"/>
        <v>0.49900000000000005</v>
      </c>
      <c r="F14" s="9">
        <f t="shared" si="3"/>
        <v>8.2889999999999997</v>
      </c>
      <c r="G14" s="15">
        <f t="shared" si="1"/>
        <v>305.36676</v>
      </c>
      <c r="H14" s="10">
        <v>304</v>
      </c>
      <c r="I14" s="18">
        <f>-G14+H14</f>
        <v>-1.3667599999999993</v>
      </c>
      <c r="J14" s="75"/>
    </row>
    <row r="15" spans="1:10" s="8" customFormat="1">
      <c r="A15" s="74" t="s">
        <v>206</v>
      </c>
      <c r="B15" s="22">
        <v>3</v>
      </c>
      <c r="C15" s="22">
        <v>9.1999999999999993</v>
      </c>
      <c r="D15" s="22">
        <v>4.2</v>
      </c>
      <c r="E15" s="9">
        <f t="shared" si="0"/>
        <v>0.91999999999999993</v>
      </c>
      <c r="F15" s="9">
        <f t="shared" si="3"/>
        <v>14.319999999999999</v>
      </c>
      <c r="G15" s="15">
        <f t="shared" si="1"/>
        <v>527.54880000000003</v>
      </c>
      <c r="H15" s="10">
        <f>527+1</f>
        <v>528</v>
      </c>
      <c r="I15" s="18">
        <f t="shared" ref="I15" si="4">-G15+H15</f>
        <v>0.45119999999997162</v>
      </c>
    </row>
    <row r="16" spans="1:10" s="8" customFormat="1">
      <c r="A16" s="74" t="s">
        <v>207</v>
      </c>
      <c r="B16" s="22">
        <v>10</v>
      </c>
      <c r="C16" s="22">
        <v>45.08</v>
      </c>
      <c r="D16" s="22">
        <v>29.4</v>
      </c>
      <c r="E16" s="9">
        <f t="shared" si="0"/>
        <v>4.508</v>
      </c>
      <c r="F16" s="9">
        <f t="shared" si="3"/>
        <v>78.987999999999985</v>
      </c>
      <c r="G16" s="15">
        <f t="shared" si="1"/>
        <v>2909.9179199999999</v>
      </c>
      <c r="H16" s="10">
        <v>2910</v>
      </c>
      <c r="I16" s="18">
        <f t="shared" si="2"/>
        <v>8.2080000000132713E-2</v>
      </c>
      <c r="J16" s="73"/>
    </row>
    <row r="17" spans="1:9" s="8" customFormat="1">
      <c r="A17" s="9" t="s">
        <v>130</v>
      </c>
      <c r="B17" s="22">
        <v>6</v>
      </c>
      <c r="C17" s="22">
        <v>29.94</v>
      </c>
      <c r="D17" s="22">
        <v>8.4</v>
      </c>
      <c r="E17" s="9">
        <f t="shared" ref="E17:E19" si="5">C17*0.1</f>
        <v>2.9940000000000002</v>
      </c>
      <c r="F17" s="9">
        <f t="shared" ref="F17:F19" si="6">C17+D17+E17</f>
        <v>41.334000000000003</v>
      </c>
      <c r="G17" s="15">
        <f t="shared" ref="G17:G19" si="7">F17*$D$1</f>
        <v>1522.7445600000003</v>
      </c>
      <c r="H17" s="10">
        <v>1522</v>
      </c>
      <c r="I17" s="18">
        <f t="shared" ref="I17:I19" si="8">-G17+H17</f>
        <v>-0.74456000000031963</v>
      </c>
    </row>
    <row r="18" spans="1:9" s="8" customFormat="1">
      <c r="A18" s="74" t="s">
        <v>208</v>
      </c>
      <c r="B18" s="22">
        <v>2</v>
      </c>
      <c r="C18" s="22">
        <v>6.3</v>
      </c>
      <c r="D18" s="22">
        <v>2.8</v>
      </c>
      <c r="E18" s="9">
        <f t="shared" si="5"/>
        <v>0.63</v>
      </c>
      <c r="F18" s="9">
        <f t="shared" si="6"/>
        <v>9.73</v>
      </c>
      <c r="G18" s="15">
        <f t="shared" si="7"/>
        <v>358.45320000000004</v>
      </c>
      <c r="H18" s="10">
        <v>358</v>
      </c>
      <c r="I18" s="18">
        <f t="shared" si="8"/>
        <v>-0.45320000000003802</v>
      </c>
    </row>
    <row r="19" spans="1:9" s="8" customFormat="1" ht="30">
      <c r="A19" s="74" t="s">
        <v>209</v>
      </c>
      <c r="B19" s="22">
        <v>1</v>
      </c>
      <c r="C19" s="22">
        <v>7.75</v>
      </c>
      <c r="D19" s="22">
        <v>2.2399999999999998</v>
      </c>
      <c r="E19" s="9">
        <f t="shared" si="5"/>
        <v>0.77500000000000002</v>
      </c>
      <c r="F19" s="9">
        <f t="shared" si="6"/>
        <v>10.765000000000001</v>
      </c>
      <c r="G19" s="15">
        <f t="shared" si="7"/>
        <v>396.58260000000007</v>
      </c>
      <c r="H19" s="10">
        <v>396</v>
      </c>
      <c r="I19" s="18">
        <f t="shared" si="8"/>
        <v>-0.58260000000007039</v>
      </c>
    </row>
    <row r="20" spans="1:9" s="8" customFormat="1">
      <c r="A20" s="9" t="s">
        <v>86</v>
      </c>
      <c r="B20" s="22">
        <v>1</v>
      </c>
      <c r="C20" s="22">
        <v>2.85</v>
      </c>
      <c r="D20" s="22">
        <v>1.4</v>
      </c>
      <c r="E20" s="9">
        <f t="shared" si="0"/>
        <v>0.28500000000000003</v>
      </c>
      <c r="F20" s="9">
        <f t="shared" si="3"/>
        <v>4.5350000000000001</v>
      </c>
      <c r="G20" s="15">
        <f t="shared" si="1"/>
        <v>167.06940000000003</v>
      </c>
      <c r="H20" s="10">
        <v>163</v>
      </c>
      <c r="I20" s="18">
        <f t="shared" si="2"/>
        <v>-4.0694000000000301</v>
      </c>
    </row>
    <row r="21" spans="1:9" s="8" customFormat="1">
      <c r="A21" s="74" t="s">
        <v>210</v>
      </c>
      <c r="B21" s="22">
        <v>1</v>
      </c>
      <c r="C21" s="22">
        <v>2.85</v>
      </c>
      <c r="D21" s="22">
        <v>1.4</v>
      </c>
      <c r="E21" s="9">
        <f t="shared" si="0"/>
        <v>0.28500000000000003</v>
      </c>
      <c r="F21" s="9">
        <f t="shared" si="3"/>
        <v>4.5350000000000001</v>
      </c>
      <c r="G21" s="15">
        <f t="shared" si="1"/>
        <v>167.06940000000003</v>
      </c>
      <c r="H21" s="10">
        <f>60+96+11</f>
        <v>167</v>
      </c>
      <c r="I21" s="18">
        <f t="shared" si="2"/>
        <v>-6.9400000000030104E-2</v>
      </c>
    </row>
    <row r="22" spans="1:9" s="8" customFormat="1">
      <c r="A22" s="74" t="s">
        <v>195</v>
      </c>
      <c r="B22" s="22">
        <v>1</v>
      </c>
      <c r="C22" s="22">
        <v>3.15</v>
      </c>
      <c r="D22" s="22">
        <v>1.4</v>
      </c>
      <c r="E22" s="9">
        <f t="shared" si="0"/>
        <v>0.315</v>
      </c>
      <c r="F22" s="9">
        <f t="shared" si="3"/>
        <v>4.8650000000000002</v>
      </c>
      <c r="G22" s="15">
        <f t="shared" si="1"/>
        <v>179.22660000000002</v>
      </c>
      <c r="H22" s="10">
        <v>180</v>
      </c>
      <c r="I22" s="18">
        <f t="shared" si="2"/>
        <v>0.77339999999998099</v>
      </c>
    </row>
    <row r="23" spans="1:9" s="8" customFormat="1">
      <c r="A23" s="74" t="s">
        <v>211</v>
      </c>
      <c r="B23" s="22">
        <v>1</v>
      </c>
      <c r="C23" s="24">
        <v>2.85</v>
      </c>
      <c r="D23" s="24">
        <v>1.4</v>
      </c>
      <c r="E23" s="9">
        <f t="shared" si="0"/>
        <v>0.28500000000000003</v>
      </c>
      <c r="F23" s="9">
        <f t="shared" si="3"/>
        <v>4.5350000000000001</v>
      </c>
      <c r="G23" s="15">
        <f t="shared" si="1"/>
        <v>167.06940000000003</v>
      </c>
      <c r="H23" s="10">
        <v>167</v>
      </c>
      <c r="I23" s="18">
        <f t="shared" si="2"/>
        <v>-6.9400000000030104E-2</v>
      </c>
    </row>
    <row r="24" spans="1:9" s="8" customFormat="1">
      <c r="A24" s="64"/>
      <c r="B24" s="46"/>
      <c r="C24" s="46"/>
      <c r="D24" s="47"/>
      <c r="E24" s="48"/>
      <c r="F24" s="48"/>
      <c r="G24" s="49"/>
      <c r="H24" s="50"/>
      <c r="I24" s="51"/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>
  <sheetPr>
    <tabColor rgb="FFFF0000"/>
  </sheetPr>
  <dimension ref="A1:J17"/>
  <sheetViews>
    <sheetView workbookViewId="0">
      <selection activeCell="J6" sqref="J6"/>
    </sheetView>
  </sheetViews>
  <sheetFormatPr defaultRowHeight="15"/>
  <cols>
    <col min="1" max="1" width="15.5703125" customWidth="1"/>
    <col min="2" max="2" width="16.7109375" customWidth="1"/>
    <col min="3" max="3" width="10.140625" customWidth="1"/>
    <col min="4" max="4" width="12.28515625" customWidth="1"/>
    <col min="8" max="8" width="12.7109375" customWidth="1"/>
    <col min="10" max="10" width="17.85546875" customWidth="1"/>
  </cols>
  <sheetData>
    <row r="1" spans="1:10" s="5" customFormat="1" ht="21">
      <c r="A1" s="1" t="s">
        <v>0</v>
      </c>
      <c r="B1" s="2">
        <v>41914</v>
      </c>
      <c r="C1" s="3" t="s">
        <v>1</v>
      </c>
      <c r="D1" s="4">
        <v>40.06</v>
      </c>
      <c r="E1" s="5" t="s">
        <v>2</v>
      </c>
    </row>
    <row r="2" spans="1:10" s="5" customFormat="1">
      <c r="A2" s="62"/>
    </row>
    <row r="3" spans="1:10" s="8" customFormat="1" ht="45">
      <c r="A3" s="6" t="s">
        <v>3</v>
      </c>
      <c r="B3" s="7" t="s">
        <v>17</v>
      </c>
      <c r="C3" s="7" t="s">
        <v>4</v>
      </c>
      <c r="D3" s="7" t="s">
        <v>5</v>
      </c>
      <c r="E3" s="7" t="s">
        <v>19</v>
      </c>
      <c r="F3" s="6" t="s">
        <v>18</v>
      </c>
      <c r="G3" s="6" t="s">
        <v>6</v>
      </c>
      <c r="H3" s="6" t="s">
        <v>7</v>
      </c>
      <c r="I3" s="6" t="s">
        <v>95</v>
      </c>
    </row>
    <row r="4" spans="1:10" s="8" customFormat="1">
      <c r="A4" s="74" t="s">
        <v>86</v>
      </c>
      <c r="B4" s="24">
        <v>1</v>
      </c>
      <c r="C4" s="31">
        <v>4.5</v>
      </c>
      <c r="D4" s="22">
        <f t="shared" ref="D4:D13" si="0">1.4*B4</f>
        <v>1.4</v>
      </c>
      <c r="E4" s="9">
        <f>C4*0.1</f>
        <v>0.45</v>
      </c>
      <c r="F4" s="9">
        <f>C4+D4+E4</f>
        <v>6.3500000000000005</v>
      </c>
      <c r="G4" s="15">
        <f>F4*$D$1</f>
        <v>254.38100000000003</v>
      </c>
      <c r="H4" s="91">
        <v>441</v>
      </c>
      <c r="I4" s="18">
        <f>-G4+H4</f>
        <v>186.61899999999997</v>
      </c>
      <c r="J4" s="40"/>
    </row>
    <row r="5" spans="1:10" s="8" customFormat="1" ht="45">
      <c r="A5" s="74" t="s">
        <v>198</v>
      </c>
      <c r="B5" s="24">
        <v>4</v>
      </c>
      <c r="C5" s="24">
        <f>21.8-5.45</f>
        <v>16.350000000000001</v>
      </c>
      <c r="D5" s="22">
        <f t="shared" si="0"/>
        <v>5.6</v>
      </c>
      <c r="E5" s="9">
        <f>C5*0.1</f>
        <v>1.6350000000000002</v>
      </c>
      <c r="F5" s="9">
        <f>C5+D5+E5</f>
        <v>23.585000000000004</v>
      </c>
      <c r="G5" s="15">
        <f t="shared" ref="G5:G16" si="1">F5*$D$1</f>
        <v>944.81510000000026</v>
      </c>
      <c r="H5" s="91">
        <f>1184-8</f>
        <v>1176</v>
      </c>
      <c r="I5" s="18">
        <f>-G5+H5</f>
        <v>231.18489999999974</v>
      </c>
      <c r="J5" s="42" t="s">
        <v>248</v>
      </c>
    </row>
    <row r="6" spans="1:10" s="8" customFormat="1">
      <c r="A6" s="74" t="s">
        <v>165</v>
      </c>
      <c r="B6" s="24">
        <v>2</v>
      </c>
      <c r="C6" s="24">
        <v>7.24</v>
      </c>
      <c r="D6" s="22">
        <f t="shared" si="0"/>
        <v>2.8</v>
      </c>
      <c r="E6" s="9">
        <f t="shared" ref="E6:E16" si="2">C6*0.1</f>
        <v>0.72400000000000009</v>
      </c>
      <c r="F6" s="9">
        <f>C6+D6+E6</f>
        <v>10.763999999999999</v>
      </c>
      <c r="G6" s="15">
        <f t="shared" si="1"/>
        <v>431.20584000000002</v>
      </c>
      <c r="H6" s="91">
        <v>431</v>
      </c>
      <c r="I6" s="18">
        <f t="shared" ref="I6:I16" si="3">-G6+H6</f>
        <v>-0.20584000000002334</v>
      </c>
    </row>
    <row r="7" spans="1:10" s="8" customFormat="1">
      <c r="A7" s="74" t="s">
        <v>35</v>
      </c>
      <c r="B7" s="24">
        <v>5</v>
      </c>
      <c r="C7" s="24">
        <v>22.53</v>
      </c>
      <c r="D7" s="22">
        <f t="shared" si="0"/>
        <v>7</v>
      </c>
      <c r="E7" s="9">
        <f t="shared" si="2"/>
        <v>2.2530000000000001</v>
      </c>
      <c r="F7" s="9">
        <f t="shared" ref="F7:F16" si="4">C7+D7+E7</f>
        <v>31.783000000000001</v>
      </c>
      <c r="G7" s="15">
        <f t="shared" si="1"/>
        <v>1273.2269800000001</v>
      </c>
      <c r="H7" s="91">
        <v>1273</v>
      </c>
      <c r="I7" s="18">
        <f t="shared" si="3"/>
        <v>-0.22698000000013963</v>
      </c>
    </row>
    <row r="8" spans="1:10" s="8" customFormat="1">
      <c r="A8" s="74" t="s">
        <v>216</v>
      </c>
      <c r="B8" s="31">
        <v>4</v>
      </c>
      <c r="C8" s="31">
        <v>22</v>
      </c>
      <c r="D8" s="22">
        <f t="shared" si="0"/>
        <v>5.6</v>
      </c>
      <c r="E8" s="9">
        <f t="shared" si="2"/>
        <v>2.2000000000000002</v>
      </c>
      <c r="F8" s="9">
        <f t="shared" si="4"/>
        <v>29.8</v>
      </c>
      <c r="G8" s="15">
        <f t="shared" si="1"/>
        <v>1193.788</v>
      </c>
      <c r="H8" s="91">
        <v>1194</v>
      </c>
      <c r="I8" s="18">
        <f t="shared" si="3"/>
        <v>0.21199999999998909</v>
      </c>
    </row>
    <row r="9" spans="1:10" s="8" customFormat="1">
      <c r="A9" s="74" t="s">
        <v>130</v>
      </c>
      <c r="B9" s="22">
        <v>5</v>
      </c>
      <c r="C9" s="22">
        <v>24.21</v>
      </c>
      <c r="D9" s="22">
        <f t="shared" si="0"/>
        <v>7</v>
      </c>
      <c r="E9" s="9">
        <f t="shared" si="2"/>
        <v>2.4210000000000003</v>
      </c>
      <c r="F9" s="9">
        <f t="shared" si="4"/>
        <v>33.631</v>
      </c>
      <c r="G9" s="15">
        <f t="shared" si="1"/>
        <v>1347.2578600000002</v>
      </c>
      <c r="H9" s="91">
        <v>1348</v>
      </c>
      <c r="I9" s="18">
        <f t="shared" si="3"/>
        <v>0.74213999999983571</v>
      </c>
    </row>
    <row r="10" spans="1:10" s="8" customFormat="1">
      <c r="A10" s="74" t="s">
        <v>107</v>
      </c>
      <c r="B10" s="24">
        <v>1</v>
      </c>
      <c r="C10" s="24">
        <v>7</v>
      </c>
      <c r="D10" s="22">
        <f t="shared" si="0"/>
        <v>1.4</v>
      </c>
      <c r="E10" s="9">
        <f t="shared" si="2"/>
        <v>0.70000000000000007</v>
      </c>
      <c r="F10" s="9">
        <f t="shared" si="4"/>
        <v>9.1</v>
      </c>
      <c r="G10" s="15">
        <f t="shared" si="1"/>
        <v>364.54599999999999</v>
      </c>
      <c r="H10" s="91">
        <v>365</v>
      </c>
      <c r="I10" s="18">
        <f>-G10+H10</f>
        <v>0.45400000000000773</v>
      </c>
    </row>
    <row r="11" spans="1:10" s="8" customFormat="1">
      <c r="A11" s="74" t="s">
        <v>24</v>
      </c>
      <c r="B11" s="22">
        <v>2</v>
      </c>
      <c r="C11" s="22">
        <v>8.35</v>
      </c>
      <c r="D11" s="22">
        <v>3.8</v>
      </c>
      <c r="E11" s="9">
        <f t="shared" si="2"/>
        <v>0.83499999999999996</v>
      </c>
      <c r="F11" s="9">
        <f t="shared" si="4"/>
        <v>12.984999999999999</v>
      </c>
      <c r="G11" s="15">
        <f t="shared" si="1"/>
        <v>520.17910000000006</v>
      </c>
      <c r="H11" s="91">
        <v>521</v>
      </c>
      <c r="I11" s="18">
        <f t="shared" si="3"/>
        <v>0.82089999999993779</v>
      </c>
    </row>
    <row r="12" spans="1:10" s="8" customFormat="1">
      <c r="A12" s="74" t="s">
        <v>46</v>
      </c>
      <c r="B12" s="22">
        <v>8</v>
      </c>
      <c r="C12" s="22">
        <v>24.58</v>
      </c>
      <c r="D12" s="22">
        <f>1.4*B12+1</f>
        <v>12.2</v>
      </c>
      <c r="E12" s="9">
        <f t="shared" si="2"/>
        <v>2.4580000000000002</v>
      </c>
      <c r="F12" s="9">
        <f t="shared" si="4"/>
        <v>39.238</v>
      </c>
      <c r="G12" s="15">
        <f t="shared" si="1"/>
        <v>1571.87428</v>
      </c>
      <c r="H12" s="91">
        <v>1500</v>
      </c>
      <c r="I12" s="18">
        <f t="shared" si="3"/>
        <v>-71.874279999999999</v>
      </c>
    </row>
    <row r="13" spans="1:10" s="8" customFormat="1">
      <c r="A13" s="74" t="s">
        <v>217</v>
      </c>
      <c r="B13" s="22">
        <v>3</v>
      </c>
      <c r="C13" s="22">
        <v>14.23</v>
      </c>
      <c r="D13" s="22">
        <f t="shared" si="0"/>
        <v>4.1999999999999993</v>
      </c>
      <c r="E13" s="9">
        <f t="shared" si="2"/>
        <v>1.423</v>
      </c>
      <c r="F13" s="9">
        <f t="shared" si="4"/>
        <v>19.853000000000002</v>
      </c>
      <c r="G13" s="15">
        <f t="shared" si="1"/>
        <v>795.31118000000015</v>
      </c>
      <c r="H13" s="91">
        <v>800</v>
      </c>
      <c r="I13" s="18">
        <f t="shared" si="3"/>
        <v>4.6888199999998506</v>
      </c>
    </row>
    <row r="14" spans="1:10" s="8" customFormat="1">
      <c r="A14" s="74" t="s">
        <v>218</v>
      </c>
      <c r="B14" s="25">
        <v>14</v>
      </c>
      <c r="C14" s="66">
        <v>72.62</v>
      </c>
      <c r="D14" s="22">
        <f>1.4*B14</f>
        <v>19.599999999999998</v>
      </c>
      <c r="E14" s="9">
        <f t="shared" si="2"/>
        <v>7.2620000000000005</v>
      </c>
      <c r="F14" s="9">
        <f t="shared" si="4"/>
        <v>99.481999999999999</v>
      </c>
      <c r="G14" s="15">
        <f t="shared" si="1"/>
        <v>3985.24892</v>
      </c>
      <c r="H14" s="91">
        <v>3985</v>
      </c>
      <c r="I14" s="18">
        <f>-G14+H14</f>
        <v>-0.24891999999999825</v>
      </c>
      <c r="J14" s="75"/>
    </row>
    <row r="15" spans="1:10" s="8" customFormat="1">
      <c r="A15" s="74" t="s">
        <v>196</v>
      </c>
      <c r="B15" s="22">
        <v>2</v>
      </c>
      <c r="C15" s="22">
        <v>10.9</v>
      </c>
      <c r="D15" s="22">
        <f t="shared" ref="D15:D16" si="5">1.4*B15</f>
        <v>2.8</v>
      </c>
      <c r="E15" s="9">
        <f t="shared" si="2"/>
        <v>1.0900000000000001</v>
      </c>
      <c r="F15" s="9">
        <f t="shared" si="4"/>
        <v>14.79</v>
      </c>
      <c r="G15" s="15">
        <f t="shared" si="1"/>
        <v>592.48739999999998</v>
      </c>
      <c r="H15" s="91">
        <v>592</v>
      </c>
      <c r="I15" s="18">
        <f t="shared" ref="I15" si="6">-G15+H15</f>
        <v>-0.48739999999997963</v>
      </c>
    </row>
    <row r="16" spans="1:10" s="8" customFormat="1">
      <c r="A16" s="74" t="s">
        <v>195</v>
      </c>
      <c r="B16" s="22">
        <v>2</v>
      </c>
      <c r="C16" s="22">
        <v>9.98</v>
      </c>
      <c r="D16" s="22">
        <f t="shared" si="5"/>
        <v>2.8</v>
      </c>
      <c r="E16" s="9">
        <f t="shared" si="2"/>
        <v>0.99800000000000011</v>
      </c>
      <c r="F16" s="9">
        <f t="shared" si="4"/>
        <v>13.778</v>
      </c>
      <c r="G16" s="15">
        <f t="shared" si="1"/>
        <v>551.94668000000001</v>
      </c>
      <c r="H16" s="91">
        <v>551</v>
      </c>
      <c r="I16" s="18">
        <f t="shared" si="3"/>
        <v>-0.94668000000001484</v>
      </c>
      <c r="J16" s="73"/>
    </row>
    <row r="17" spans="1:9" s="8" customFormat="1">
      <c r="A17" s="64"/>
      <c r="B17" s="46"/>
      <c r="C17" s="46"/>
      <c r="D17" s="47"/>
      <c r="E17" s="48"/>
      <c r="F17" s="48"/>
      <c r="G17" s="49"/>
      <c r="H17" s="50"/>
      <c r="I17" s="51"/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>
  <sheetPr>
    <tabColor rgb="FFFF0000"/>
  </sheetPr>
  <dimension ref="A1:J40"/>
  <sheetViews>
    <sheetView workbookViewId="0">
      <selection sqref="A1:XFD1048576"/>
    </sheetView>
  </sheetViews>
  <sheetFormatPr defaultRowHeight="15"/>
  <cols>
    <col min="1" max="1" width="22.42578125" customWidth="1"/>
    <col min="2" max="2" width="19.42578125" customWidth="1"/>
    <col min="3" max="3" width="12.5703125" customWidth="1"/>
    <col min="4" max="4" width="16.140625" customWidth="1"/>
    <col min="8" max="8" width="15.85546875" customWidth="1"/>
    <col min="10" max="10" width="35.140625" customWidth="1"/>
  </cols>
  <sheetData>
    <row r="1" spans="1:10" s="5" customFormat="1" ht="21">
      <c r="A1" s="1" t="s">
        <v>0</v>
      </c>
      <c r="B1" s="2">
        <v>41973</v>
      </c>
      <c r="C1" s="3" t="s">
        <v>1</v>
      </c>
      <c r="D1" s="94">
        <v>50.17</v>
      </c>
      <c r="E1" s="5" t="s">
        <v>2</v>
      </c>
    </row>
    <row r="2" spans="1:10" s="5" customFormat="1">
      <c r="A2" s="62"/>
    </row>
    <row r="3" spans="1:10" s="8" customFormat="1" ht="45">
      <c r="A3" s="6" t="s">
        <v>3</v>
      </c>
      <c r="B3" s="7" t="s">
        <v>17</v>
      </c>
      <c r="C3" s="7" t="s">
        <v>4</v>
      </c>
      <c r="D3" s="7" t="s">
        <v>5</v>
      </c>
      <c r="E3" s="7" t="s">
        <v>19</v>
      </c>
      <c r="F3" s="6" t="s">
        <v>18</v>
      </c>
      <c r="G3" s="6" t="s">
        <v>6</v>
      </c>
      <c r="H3" s="6" t="s">
        <v>7</v>
      </c>
      <c r="I3" s="6" t="s">
        <v>95</v>
      </c>
    </row>
    <row r="4" spans="1:10" s="8" customFormat="1">
      <c r="A4" s="74" t="s">
        <v>107</v>
      </c>
      <c r="B4" s="24">
        <v>8</v>
      </c>
      <c r="C4" s="31">
        <v>36.85</v>
      </c>
      <c r="D4" s="22">
        <f t="shared" ref="D4:D13" si="0">1.4*B4</f>
        <v>11.2</v>
      </c>
      <c r="E4" s="9">
        <f>C4*0.1</f>
        <v>3.6850000000000005</v>
      </c>
      <c r="F4" s="9">
        <f>C4+D4+E4</f>
        <v>51.734999999999999</v>
      </c>
      <c r="G4" s="15">
        <f>F4*$D$1</f>
        <v>2595.54495</v>
      </c>
      <c r="H4" s="91">
        <f>2577+57</f>
        <v>2634</v>
      </c>
      <c r="I4" s="18">
        <f>-G4+H4</f>
        <v>38.455050000000028</v>
      </c>
      <c r="J4" s="40"/>
    </row>
    <row r="5" spans="1:10" s="8" customFormat="1">
      <c r="A5" s="74" t="s">
        <v>46</v>
      </c>
      <c r="B5" s="24">
        <v>12</v>
      </c>
      <c r="C5" s="24">
        <v>51.84</v>
      </c>
      <c r="D5" s="22">
        <f t="shared" si="0"/>
        <v>16.799999999999997</v>
      </c>
      <c r="E5" s="9">
        <f>C5*0.1</f>
        <v>5.1840000000000011</v>
      </c>
      <c r="F5" s="9">
        <f>C5+D5+E5</f>
        <v>73.823999999999998</v>
      </c>
      <c r="G5" s="15">
        <f t="shared" ref="G5:G26" si="1">F5*$D$1</f>
        <v>3703.7500800000003</v>
      </c>
      <c r="H5" s="91">
        <f>3680+8</f>
        <v>3688</v>
      </c>
      <c r="I5" s="18">
        <f>-G5+H5</f>
        <v>-15.750080000000253</v>
      </c>
      <c r="J5" s="42" t="s">
        <v>245</v>
      </c>
    </row>
    <row r="6" spans="1:10" s="8" customFormat="1">
      <c r="A6" s="74" t="s">
        <v>222</v>
      </c>
      <c r="B6" s="24">
        <v>2</v>
      </c>
      <c r="C6" s="24">
        <v>8.5</v>
      </c>
      <c r="D6" s="22">
        <f t="shared" si="0"/>
        <v>2.8</v>
      </c>
      <c r="E6" s="9">
        <f t="shared" ref="E6:E26" si="2">C6*0.1</f>
        <v>0.85000000000000009</v>
      </c>
      <c r="F6" s="9">
        <f>C6+D6+E6</f>
        <v>12.15</v>
      </c>
      <c r="G6" s="15">
        <f t="shared" si="1"/>
        <v>609.56550000000004</v>
      </c>
      <c r="H6" s="91">
        <f>605+5</f>
        <v>610</v>
      </c>
      <c r="I6" s="18">
        <f t="shared" ref="I6:I26" si="3">-G6+H6</f>
        <v>0.43449999999995725</v>
      </c>
    </row>
    <row r="7" spans="1:10" s="8" customFormat="1">
      <c r="A7" s="74" t="s">
        <v>223</v>
      </c>
      <c r="B7" s="24">
        <v>1</v>
      </c>
      <c r="C7" s="24">
        <v>4.7</v>
      </c>
      <c r="D7" s="22">
        <f t="shared" si="0"/>
        <v>1.4</v>
      </c>
      <c r="E7" s="9">
        <f t="shared" si="2"/>
        <v>0.47000000000000003</v>
      </c>
      <c r="F7" s="9">
        <f t="shared" ref="F7:F26" si="4">C7+D7+E7</f>
        <v>6.5699999999999994</v>
      </c>
      <c r="G7" s="15">
        <f t="shared" si="1"/>
        <v>329.61689999999999</v>
      </c>
      <c r="H7" s="91">
        <f>327+3</f>
        <v>330</v>
      </c>
      <c r="I7" s="18">
        <f t="shared" si="3"/>
        <v>0.3831000000000131</v>
      </c>
    </row>
    <row r="8" spans="1:10" s="8" customFormat="1">
      <c r="A8" s="74" t="s">
        <v>224</v>
      </c>
      <c r="B8" s="31">
        <v>1</v>
      </c>
      <c r="C8" s="31">
        <v>5.5</v>
      </c>
      <c r="D8" s="22">
        <f t="shared" si="0"/>
        <v>1.4</v>
      </c>
      <c r="E8" s="9">
        <f t="shared" si="2"/>
        <v>0.55000000000000004</v>
      </c>
      <c r="F8" s="9">
        <f t="shared" si="4"/>
        <v>7.45</v>
      </c>
      <c r="G8" s="15">
        <f t="shared" si="1"/>
        <v>373.76650000000001</v>
      </c>
      <c r="H8" s="91">
        <f>371+3</f>
        <v>374</v>
      </c>
      <c r="I8" s="18">
        <f t="shared" si="3"/>
        <v>0.23349999999999227</v>
      </c>
    </row>
    <row r="9" spans="1:10" s="8" customFormat="1">
      <c r="A9" s="74" t="s">
        <v>209</v>
      </c>
      <c r="B9" s="22">
        <v>1</v>
      </c>
      <c r="C9" s="22">
        <v>5.75</v>
      </c>
      <c r="D9" s="22">
        <f t="shared" si="0"/>
        <v>1.4</v>
      </c>
      <c r="E9" s="9">
        <f t="shared" si="2"/>
        <v>0.57500000000000007</v>
      </c>
      <c r="F9" s="9">
        <f t="shared" si="4"/>
        <v>7.7250000000000005</v>
      </c>
      <c r="G9" s="15">
        <f t="shared" si="1"/>
        <v>387.56325000000004</v>
      </c>
      <c r="H9" s="91">
        <f>385+3</f>
        <v>388</v>
      </c>
      <c r="I9" s="18">
        <f t="shared" si="3"/>
        <v>0.43674999999996089</v>
      </c>
    </row>
    <row r="10" spans="1:10" s="8" customFormat="1">
      <c r="A10" s="74" t="s">
        <v>86</v>
      </c>
      <c r="B10" s="24">
        <v>1</v>
      </c>
      <c r="C10" s="24">
        <v>4.99</v>
      </c>
      <c r="D10" s="22">
        <f t="shared" si="0"/>
        <v>1.4</v>
      </c>
      <c r="E10" s="9">
        <f t="shared" si="2"/>
        <v>0.49900000000000005</v>
      </c>
      <c r="F10" s="9">
        <f t="shared" si="4"/>
        <v>6.8890000000000002</v>
      </c>
      <c r="G10" s="15">
        <f t="shared" si="1"/>
        <v>345.62113000000005</v>
      </c>
      <c r="H10" s="91">
        <f>157+2</f>
        <v>159</v>
      </c>
      <c r="I10" s="18">
        <f>-G10+H10</f>
        <v>-186.62113000000005</v>
      </c>
    </row>
    <row r="11" spans="1:10" s="8" customFormat="1">
      <c r="A11" s="74" t="s">
        <v>225</v>
      </c>
      <c r="B11" s="22">
        <v>1</v>
      </c>
      <c r="C11" s="22">
        <v>2.85</v>
      </c>
      <c r="D11" s="22">
        <f t="shared" si="0"/>
        <v>1.4</v>
      </c>
      <c r="E11" s="9">
        <f t="shared" si="2"/>
        <v>0.28500000000000003</v>
      </c>
      <c r="F11" s="9">
        <f t="shared" si="4"/>
        <v>4.5350000000000001</v>
      </c>
      <c r="G11" s="15">
        <f t="shared" si="1"/>
        <v>227.52095000000003</v>
      </c>
      <c r="H11" s="91">
        <f>226+2</f>
        <v>228</v>
      </c>
      <c r="I11" s="18">
        <f t="shared" si="3"/>
        <v>0.47904999999997244</v>
      </c>
    </row>
    <row r="12" spans="1:10" s="8" customFormat="1">
      <c r="A12" s="74" t="s">
        <v>226</v>
      </c>
      <c r="B12" s="22">
        <v>1</v>
      </c>
      <c r="C12" s="22">
        <v>2.85</v>
      </c>
      <c r="D12" s="22">
        <f t="shared" si="0"/>
        <v>1.4</v>
      </c>
      <c r="E12" s="9">
        <f t="shared" si="2"/>
        <v>0.28500000000000003</v>
      </c>
      <c r="F12" s="9">
        <f t="shared" si="4"/>
        <v>4.5350000000000001</v>
      </c>
      <c r="G12" s="15">
        <f t="shared" si="1"/>
        <v>227.52095000000003</v>
      </c>
      <c r="H12" s="91">
        <f>226+2</f>
        <v>228</v>
      </c>
      <c r="I12" s="18">
        <f t="shared" si="3"/>
        <v>0.47904999999997244</v>
      </c>
    </row>
    <row r="13" spans="1:10" s="8" customFormat="1">
      <c r="A13" s="74" t="s">
        <v>227</v>
      </c>
      <c r="B13" s="22">
        <v>2</v>
      </c>
      <c r="C13" s="22">
        <v>7.6</v>
      </c>
      <c r="D13" s="22">
        <f t="shared" si="0"/>
        <v>2.8</v>
      </c>
      <c r="E13" s="9">
        <f t="shared" si="2"/>
        <v>0.76</v>
      </c>
      <c r="F13" s="9">
        <f t="shared" si="4"/>
        <v>11.159999999999998</v>
      </c>
      <c r="G13" s="15">
        <f t="shared" si="1"/>
        <v>559.89719999999988</v>
      </c>
      <c r="H13" s="91">
        <f>556+4</f>
        <v>560</v>
      </c>
      <c r="I13" s="18">
        <f t="shared" si="3"/>
        <v>0.10280000000011569</v>
      </c>
    </row>
    <row r="14" spans="1:10" s="8" customFormat="1">
      <c r="A14" s="74" t="s">
        <v>228</v>
      </c>
      <c r="B14" s="25">
        <v>4</v>
      </c>
      <c r="C14" s="66">
        <v>15.35</v>
      </c>
      <c r="D14" s="22">
        <f>1.4*B14</f>
        <v>5.6</v>
      </c>
      <c r="E14" s="9">
        <f t="shared" si="2"/>
        <v>1.5350000000000001</v>
      </c>
      <c r="F14" s="9">
        <f t="shared" si="4"/>
        <v>22.484999999999999</v>
      </c>
      <c r="G14" s="15">
        <f t="shared" si="1"/>
        <v>1128.0724500000001</v>
      </c>
      <c r="H14" s="91">
        <f>1080+48</f>
        <v>1128</v>
      </c>
      <c r="I14" s="18">
        <f>-G14+H14</f>
        <v>-7.2450000000117143E-2</v>
      </c>
      <c r="J14" s="75"/>
    </row>
    <row r="15" spans="1:10" s="8" customFormat="1">
      <c r="A15" s="74" t="s">
        <v>16</v>
      </c>
      <c r="B15" s="24">
        <v>2</v>
      </c>
      <c r="C15" s="24">
        <v>13.2</v>
      </c>
      <c r="D15" s="22">
        <v>4.2</v>
      </c>
      <c r="E15" s="9">
        <f>C15*0.1</f>
        <v>1.32</v>
      </c>
      <c r="F15" s="9">
        <f>C15+D15+E15</f>
        <v>18.72</v>
      </c>
      <c r="G15" s="15">
        <f t="shared" ref="G15:G25" si="5">F15*$D$1</f>
        <v>939.18240000000003</v>
      </c>
      <c r="H15" s="91">
        <f>933+6</f>
        <v>939</v>
      </c>
      <c r="I15" s="18">
        <f>-G15+H15</f>
        <v>-0.18240000000002965</v>
      </c>
      <c r="J15" s="42"/>
    </row>
    <row r="16" spans="1:10" s="8" customFormat="1">
      <c r="A16" s="74" t="s">
        <v>210</v>
      </c>
      <c r="B16" s="24">
        <v>1</v>
      </c>
      <c r="C16" s="24">
        <v>2.85</v>
      </c>
      <c r="D16" s="22">
        <f t="shared" ref="D16:D26" si="6">1.4*B16</f>
        <v>1.4</v>
      </c>
      <c r="E16" s="9">
        <f t="shared" ref="E16:E25" si="7">C16*0.1</f>
        <v>0.28500000000000003</v>
      </c>
      <c r="F16" s="9">
        <f>C16+D16+E16</f>
        <v>4.5350000000000001</v>
      </c>
      <c r="G16" s="15">
        <f t="shared" si="5"/>
        <v>227.52095000000003</v>
      </c>
      <c r="H16" s="91">
        <f>230-2</f>
        <v>228</v>
      </c>
      <c r="I16" s="18">
        <f t="shared" ref="I16:I19" si="8">-G16+H16</f>
        <v>0.47904999999997244</v>
      </c>
      <c r="J16" s="8" t="s">
        <v>247</v>
      </c>
    </row>
    <row r="17" spans="1:10" s="8" customFormat="1">
      <c r="A17" s="74" t="s">
        <v>122</v>
      </c>
      <c r="B17" s="24">
        <v>2</v>
      </c>
      <c r="C17" s="24">
        <v>13.78</v>
      </c>
      <c r="D17" s="22">
        <f t="shared" si="6"/>
        <v>2.8</v>
      </c>
      <c r="E17" s="9">
        <f t="shared" si="7"/>
        <v>1.3780000000000001</v>
      </c>
      <c r="F17" s="9">
        <f t="shared" ref="F17:F25" si="9">C17+D17+E17</f>
        <v>17.957999999999998</v>
      </c>
      <c r="G17" s="15">
        <f t="shared" si="5"/>
        <v>900.95285999999999</v>
      </c>
      <c r="H17" s="91">
        <f>894+7</f>
        <v>901</v>
      </c>
      <c r="I17" s="18">
        <f t="shared" si="8"/>
        <v>4.714000000001306E-2</v>
      </c>
    </row>
    <row r="18" spans="1:10" s="8" customFormat="1">
      <c r="A18" s="74" t="s">
        <v>229</v>
      </c>
      <c r="B18" s="31">
        <v>3</v>
      </c>
      <c r="C18" s="31">
        <v>9.75</v>
      </c>
      <c r="D18" s="22">
        <f t="shared" si="6"/>
        <v>4.1999999999999993</v>
      </c>
      <c r="E18" s="9">
        <f t="shared" si="7"/>
        <v>0.97500000000000009</v>
      </c>
      <c r="F18" s="9">
        <f t="shared" si="9"/>
        <v>14.924999999999999</v>
      </c>
      <c r="G18" s="15">
        <f t="shared" si="5"/>
        <v>748.78724999999997</v>
      </c>
      <c r="H18" s="91">
        <f>743+6</f>
        <v>749</v>
      </c>
      <c r="I18" s="18">
        <f t="shared" si="8"/>
        <v>0.21275000000002819</v>
      </c>
    </row>
    <row r="19" spans="1:10" s="8" customFormat="1">
      <c r="A19" s="74" t="s">
        <v>198</v>
      </c>
      <c r="B19" s="22">
        <v>1</v>
      </c>
      <c r="C19" s="22">
        <v>5.45</v>
      </c>
      <c r="D19" s="22">
        <f t="shared" si="6"/>
        <v>1.4</v>
      </c>
      <c r="E19" s="9">
        <f t="shared" si="7"/>
        <v>0.54500000000000004</v>
      </c>
      <c r="F19" s="9">
        <f t="shared" si="9"/>
        <v>7.3949999999999996</v>
      </c>
      <c r="G19" s="15">
        <f t="shared" si="5"/>
        <v>371.00714999999997</v>
      </c>
      <c r="H19" s="91">
        <f>120+19</f>
        <v>139</v>
      </c>
      <c r="I19" s="18">
        <f t="shared" si="8"/>
        <v>-232.00714999999997</v>
      </c>
    </row>
    <row r="20" spans="1:10" s="8" customFormat="1">
      <c r="A20" s="74" t="s">
        <v>130</v>
      </c>
      <c r="B20" s="24">
        <v>1</v>
      </c>
      <c r="C20" s="24">
        <v>4.25</v>
      </c>
      <c r="D20" s="22">
        <f t="shared" si="6"/>
        <v>1.4</v>
      </c>
      <c r="E20" s="9">
        <f t="shared" si="7"/>
        <v>0.42500000000000004</v>
      </c>
      <c r="F20" s="9">
        <f t="shared" si="9"/>
        <v>6.0750000000000002</v>
      </c>
      <c r="G20" s="15">
        <f t="shared" si="5"/>
        <v>304.78275000000002</v>
      </c>
      <c r="H20" s="91">
        <f>302+3</f>
        <v>305</v>
      </c>
      <c r="I20" s="18">
        <f>-G20+H20</f>
        <v>0.21724999999997863</v>
      </c>
    </row>
    <row r="21" spans="1:10" s="8" customFormat="1">
      <c r="A21" s="74" t="s">
        <v>21</v>
      </c>
      <c r="B21" s="22">
        <v>3</v>
      </c>
      <c r="C21" s="22">
        <v>15.15</v>
      </c>
      <c r="D21" s="22">
        <f t="shared" si="6"/>
        <v>4.1999999999999993</v>
      </c>
      <c r="E21" s="9">
        <f t="shared" si="7"/>
        <v>1.5150000000000001</v>
      </c>
      <c r="F21" s="9">
        <f t="shared" si="9"/>
        <v>20.865000000000002</v>
      </c>
      <c r="G21" s="15">
        <f t="shared" si="5"/>
        <v>1046.7970500000001</v>
      </c>
      <c r="H21" s="91">
        <f>1040+7</f>
        <v>1047</v>
      </c>
      <c r="I21" s="18">
        <f t="shared" ref="I21:I23" si="10">-G21+H21</f>
        <v>0.2029499999998734</v>
      </c>
    </row>
    <row r="22" spans="1:10" s="8" customFormat="1">
      <c r="A22" s="74" t="s">
        <v>218</v>
      </c>
      <c r="B22" s="22">
        <v>8</v>
      </c>
      <c r="C22" s="22">
        <v>35.75</v>
      </c>
      <c r="D22" s="22">
        <v>17.5</v>
      </c>
      <c r="E22" s="9">
        <f t="shared" si="7"/>
        <v>3.5750000000000002</v>
      </c>
      <c r="F22" s="9">
        <f t="shared" si="9"/>
        <v>56.825000000000003</v>
      </c>
      <c r="G22" s="15">
        <f t="shared" si="5"/>
        <v>2850.9102500000004</v>
      </c>
      <c r="H22" s="91">
        <f>2831+20</f>
        <v>2851</v>
      </c>
      <c r="I22" s="18">
        <f t="shared" si="10"/>
        <v>8.974999999963984E-2</v>
      </c>
    </row>
    <row r="23" spans="1:10" s="8" customFormat="1">
      <c r="A23" s="74" t="s">
        <v>230</v>
      </c>
      <c r="B23" s="24">
        <v>1</v>
      </c>
      <c r="C23" s="24">
        <v>16.95</v>
      </c>
      <c r="D23" s="22">
        <v>2.8</v>
      </c>
      <c r="E23" s="9">
        <f t="shared" si="7"/>
        <v>1.6950000000000001</v>
      </c>
      <c r="F23" s="9">
        <f t="shared" si="9"/>
        <v>21.445</v>
      </c>
      <c r="G23" s="15">
        <f t="shared" si="5"/>
        <v>1075.8956500000002</v>
      </c>
      <c r="H23" s="91">
        <f>1100-24</f>
        <v>1076</v>
      </c>
      <c r="I23" s="18">
        <f t="shared" si="10"/>
        <v>0.10434999999984029</v>
      </c>
      <c r="J23" s="8" t="s">
        <v>246</v>
      </c>
    </row>
    <row r="24" spans="1:10" s="8" customFormat="1">
      <c r="A24" s="74" t="s">
        <v>42</v>
      </c>
      <c r="B24" s="25">
        <v>4</v>
      </c>
      <c r="C24" s="66">
        <v>16.690000000000001</v>
      </c>
      <c r="D24" s="22">
        <f>1.4*B24</f>
        <v>5.6</v>
      </c>
      <c r="E24" s="9">
        <f t="shared" si="7"/>
        <v>1.6690000000000003</v>
      </c>
      <c r="F24" s="9">
        <f t="shared" si="9"/>
        <v>23.959</v>
      </c>
      <c r="G24" s="15">
        <f t="shared" si="5"/>
        <v>1202.0230300000001</v>
      </c>
      <c r="H24" s="91">
        <f>1153+49</f>
        <v>1202</v>
      </c>
      <c r="I24" s="18">
        <f>-G24+H24</f>
        <v>-2.30300000000625E-2</v>
      </c>
      <c r="J24" s="75"/>
    </row>
    <row r="25" spans="1:10" s="8" customFormat="1">
      <c r="A25" s="74" t="s">
        <v>231</v>
      </c>
      <c r="B25" s="24">
        <v>1</v>
      </c>
      <c r="C25" s="24">
        <v>1.85</v>
      </c>
      <c r="D25" s="22">
        <f t="shared" ref="D25" si="11">1.4*B25</f>
        <v>1.4</v>
      </c>
      <c r="E25" s="9">
        <f t="shared" si="7"/>
        <v>0.18500000000000003</v>
      </c>
      <c r="F25" s="9">
        <f t="shared" si="9"/>
        <v>3.4350000000000001</v>
      </c>
      <c r="G25" s="15">
        <f t="shared" si="5"/>
        <v>172.33395000000002</v>
      </c>
      <c r="H25" s="91">
        <f>171+1</f>
        <v>172</v>
      </c>
      <c r="I25" s="18">
        <f t="shared" ref="I25" si="12">-G25+H25</f>
        <v>-0.33395000000001573</v>
      </c>
    </row>
    <row r="26" spans="1:10" s="8" customFormat="1">
      <c r="A26" s="74" t="s">
        <v>232</v>
      </c>
      <c r="B26" s="22">
        <v>4</v>
      </c>
      <c r="C26" s="22">
        <v>21.8</v>
      </c>
      <c r="D26" s="22">
        <f t="shared" si="6"/>
        <v>5.6</v>
      </c>
      <c r="E26" s="9">
        <f t="shared" si="2"/>
        <v>2.1800000000000002</v>
      </c>
      <c r="F26" s="9">
        <f t="shared" si="4"/>
        <v>29.58</v>
      </c>
      <c r="G26" s="15">
        <f t="shared" si="1"/>
        <v>1484.0285999999999</v>
      </c>
      <c r="H26" s="91">
        <f>1474+10</f>
        <v>1484</v>
      </c>
      <c r="I26" s="18">
        <f t="shared" si="3"/>
        <v>-2.8599999999869397E-2</v>
      </c>
      <c r="J26" s="73"/>
    </row>
    <row r="27" spans="1:10" s="8" customFormat="1">
      <c r="A27" s="64"/>
      <c r="B27" s="46"/>
      <c r="C27" s="46"/>
      <c r="D27" s="47"/>
      <c r="E27" s="48"/>
      <c r="F27" s="48"/>
      <c r="G27" s="49"/>
      <c r="H27" s="50"/>
      <c r="I27" s="51"/>
    </row>
    <row r="29" spans="1:10" ht="26.25">
      <c r="A29" s="68" t="s">
        <v>233</v>
      </c>
    </row>
    <row r="30" spans="1:10">
      <c r="A30" s="92" t="s">
        <v>46</v>
      </c>
    </row>
    <row r="31" spans="1:10">
      <c r="A31" s="93" t="s">
        <v>234</v>
      </c>
    </row>
    <row r="32" spans="1:10">
      <c r="A32" s="92" t="s">
        <v>229</v>
      </c>
    </row>
    <row r="33" spans="1:1">
      <c r="A33" s="93" t="s">
        <v>235</v>
      </c>
    </row>
    <row r="34" spans="1:1">
      <c r="A34" s="92" t="s">
        <v>42</v>
      </c>
    </row>
    <row r="35" spans="1:1">
      <c r="A35" s="93" t="s">
        <v>236</v>
      </c>
    </row>
    <row r="36" spans="1:1">
      <c r="A36" s="93"/>
    </row>
    <row r="37" spans="1:1">
      <c r="A37" s="93"/>
    </row>
    <row r="38" spans="1:1" ht="26.25">
      <c r="A38" s="68" t="s">
        <v>221</v>
      </c>
    </row>
    <row r="39" spans="1:1" ht="26.25">
      <c r="A39" s="68" t="s">
        <v>150</v>
      </c>
    </row>
    <row r="40" spans="1:1" ht="26.25">
      <c r="A40" s="68" t="s">
        <v>220</v>
      </c>
    </row>
  </sheetData>
  <hyperlinks>
    <hyperlink ref="A30" r:id="rId1" display="http://forum.sibmama.ru/viewtopic.php?t=715424&amp;start=12660"/>
    <hyperlink ref="A31" r:id="rId2"/>
    <hyperlink ref="A33" r:id="rId3"/>
    <hyperlink ref="A35" r:id="rId4" display="http://www.nailsupplies.us/barielle-extra-gentle-cuticle-minimizer-gel-0-5oz/"/>
  </hyperlink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>
  <dimension ref="A1:J29"/>
  <sheetViews>
    <sheetView tabSelected="1" workbookViewId="0">
      <selection activeCell="A29" sqref="A29"/>
    </sheetView>
  </sheetViews>
  <sheetFormatPr defaultRowHeight="15"/>
  <cols>
    <col min="1" max="1" width="22.42578125" customWidth="1"/>
    <col min="2" max="2" width="19.42578125" customWidth="1"/>
    <col min="3" max="3" width="12.5703125" customWidth="1"/>
    <col min="4" max="4" width="16.140625" customWidth="1"/>
    <col min="8" max="8" width="15.85546875" customWidth="1"/>
    <col min="9" max="9" width="11.42578125" customWidth="1"/>
    <col min="10" max="10" width="35.140625" customWidth="1"/>
  </cols>
  <sheetData>
    <row r="1" spans="1:10" s="5" customFormat="1" ht="21">
      <c r="A1" s="1" t="s">
        <v>0</v>
      </c>
      <c r="B1" s="2">
        <v>42111</v>
      </c>
      <c r="C1" s="3" t="s">
        <v>1</v>
      </c>
      <c r="D1" s="94">
        <v>53.28</v>
      </c>
      <c r="E1" s="5" t="s">
        <v>2</v>
      </c>
    </row>
    <row r="2" spans="1:10" s="5" customFormat="1" ht="21">
      <c r="A2" s="94" t="s">
        <v>249</v>
      </c>
    </row>
    <row r="3" spans="1:10" s="8" customFormat="1" ht="45">
      <c r="A3" s="6" t="s">
        <v>3</v>
      </c>
      <c r="B3" s="7" t="s">
        <v>17</v>
      </c>
      <c r="C3" s="7" t="s">
        <v>4</v>
      </c>
      <c r="D3" s="7" t="s">
        <v>5</v>
      </c>
      <c r="E3" s="7" t="s">
        <v>19</v>
      </c>
      <c r="F3" s="6" t="s">
        <v>18</v>
      </c>
      <c r="G3" s="6" t="s">
        <v>6</v>
      </c>
      <c r="H3" s="6" t="s">
        <v>7</v>
      </c>
      <c r="I3" s="6" t="s">
        <v>95</v>
      </c>
    </row>
    <row r="4" spans="1:10" s="8" customFormat="1">
      <c r="A4" s="74" t="s">
        <v>250</v>
      </c>
      <c r="B4" s="24">
        <v>1</v>
      </c>
      <c r="C4" s="24">
        <v>2.85</v>
      </c>
      <c r="D4" s="22">
        <f t="shared" ref="D4:D18" si="0">1.4*B4</f>
        <v>1.4</v>
      </c>
      <c r="E4" s="9">
        <f>C4*0.1</f>
        <v>0.28500000000000003</v>
      </c>
      <c r="F4" s="9">
        <f>C4+D4+E4</f>
        <v>4.5350000000000001</v>
      </c>
      <c r="G4" s="15">
        <f t="shared" ref="G4:G20" si="1">F4*$D$1</f>
        <v>241.62480000000002</v>
      </c>
      <c r="H4" s="91">
        <v>242</v>
      </c>
      <c r="I4" s="18">
        <f>-G4+H4</f>
        <v>0.37519999999997822</v>
      </c>
      <c r="J4" s="42"/>
    </row>
    <row r="5" spans="1:10" s="8" customFormat="1">
      <c r="A5" s="74" t="s">
        <v>251</v>
      </c>
      <c r="B5" s="24">
        <v>1</v>
      </c>
      <c r="C5" s="24">
        <v>2.85</v>
      </c>
      <c r="D5" s="22">
        <f t="shared" si="0"/>
        <v>1.4</v>
      </c>
      <c r="E5" s="9">
        <f t="shared" ref="E5:E13" si="2">C5*0.1</f>
        <v>0.28500000000000003</v>
      </c>
      <c r="F5" s="9">
        <f>C5+D5+E5</f>
        <v>4.5350000000000001</v>
      </c>
      <c r="G5" s="15">
        <f t="shared" si="1"/>
        <v>241.62480000000002</v>
      </c>
      <c r="H5" s="91">
        <v>242</v>
      </c>
      <c r="I5" s="18">
        <f t="shared" ref="I5:I12" si="3">-G5+H5</f>
        <v>0.37519999999997822</v>
      </c>
    </row>
    <row r="6" spans="1:10" s="8" customFormat="1">
      <c r="A6" s="74" t="s">
        <v>24</v>
      </c>
      <c r="B6" s="24">
        <v>5</v>
      </c>
      <c r="C6" s="24">
        <v>27.05</v>
      </c>
      <c r="D6" s="22">
        <f t="shared" si="0"/>
        <v>7</v>
      </c>
      <c r="E6" s="9">
        <f t="shared" si="2"/>
        <v>2.7050000000000001</v>
      </c>
      <c r="F6" s="9">
        <f t="shared" ref="F6:F13" si="4">C6+D6+E6</f>
        <v>36.754999999999995</v>
      </c>
      <c r="G6" s="15">
        <f t="shared" si="1"/>
        <v>1958.3063999999997</v>
      </c>
      <c r="H6" s="29">
        <v>1958</v>
      </c>
      <c r="I6" s="18">
        <f t="shared" si="3"/>
        <v>-0.30639999999971224</v>
      </c>
    </row>
    <row r="7" spans="1:10" s="8" customFormat="1">
      <c r="A7" s="74" t="s">
        <v>21</v>
      </c>
      <c r="B7" s="31">
        <v>3</v>
      </c>
      <c r="C7" s="31">
        <v>15.23</v>
      </c>
      <c r="D7" s="22">
        <f t="shared" si="0"/>
        <v>4.1999999999999993</v>
      </c>
      <c r="E7" s="9">
        <f t="shared" si="2"/>
        <v>1.5230000000000001</v>
      </c>
      <c r="F7" s="9">
        <f t="shared" si="4"/>
        <v>20.952999999999999</v>
      </c>
      <c r="G7" s="15">
        <f t="shared" si="1"/>
        <v>1116.3758399999999</v>
      </c>
      <c r="H7" s="91">
        <v>1116</v>
      </c>
      <c r="I7" s="18">
        <f t="shared" si="3"/>
        <v>-0.37583999999992557</v>
      </c>
    </row>
    <row r="8" spans="1:10" s="8" customFormat="1">
      <c r="A8" s="74" t="s">
        <v>196</v>
      </c>
      <c r="B8" s="22">
        <v>5</v>
      </c>
      <c r="C8" s="22">
        <v>13.49</v>
      </c>
      <c r="D8" s="22">
        <f t="shared" si="0"/>
        <v>7</v>
      </c>
      <c r="E8" s="9">
        <f t="shared" si="2"/>
        <v>1.3490000000000002</v>
      </c>
      <c r="F8" s="9">
        <f t="shared" si="4"/>
        <v>21.839000000000002</v>
      </c>
      <c r="G8" s="15">
        <f t="shared" si="1"/>
        <v>1163.5819200000001</v>
      </c>
      <c r="H8" s="91">
        <v>1164</v>
      </c>
      <c r="I8" s="18">
        <f t="shared" si="3"/>
        <v>0.41807999999991807</v>
      </c>
    </row>
    <row r="9" spans="1:10" s="8" customFormat="1">
      <c r="A9" s="74" t="s">
        <v>218</v>
      </c>
      <c r="B9" s="24">
        <v>5</v>
      </c>
      <c r="C9" s="24">
        <v>27.25</v>
      </c>
      <c r="D9" s="22">
        <f t="shared" si="0"/>
        <v>7</v>
      </c>
      <c r="E9" s="9">
        <f t="shared" si="2"/>
        <v>2.7250000000000001</v>
      </c>
      <c r="F9" s="9">
        <f t="shared" si="4"/>
        <v>36.975000000000001</v>
      </c>
      <c r="G9" s="15">
        <f t="shared" si="1"/>
        <v>1970.028</v>
      </c>
      <c r="H9" s="29">
        <v>1970</v>
      </c>
      <c r="I9" s="18">
        <f>-G9+H9</f>
        <v>-2.8000000000020009E-2</v>
      </c>
    </row>
    <row r="10" spans="1:10" s="8" customFormat="1">
      <c r="A10" s="74" t="s">
        <v>252</v>
      </c>
      <c r="B10" s="22">
        <v>1</v>
      </c>
      <c r="C10" s="22">
        <v>3.56</v>
      </c>
      <c r="D10" s="22">
        <f t="shared" si="0"/>
        <v>1.4</v>
      </c>
      <c r="E10" s="9">
        <f t="shared" si="2"/>
        <v>0.35600000000000004</v>
      </c>
      <c r="F10" s="9">
        <f t="shared" si="4"/>
        <v>5.3159999999999998</v>
      </c>
      <c r="G10" s="15">
        <f t="shared" si="1"/>
        <v>283.23647999999997</v>
      </c>
      <c r="H10" s="91">
        <v>283</v>
      </c>
      <c r="I10" s="18">
        <f t="shared" si="3"/>
        <v>-0.23647999999997182</v>
      </c>
    </row>
    <row r="11" spans="1:10" s="8" customFormat="1">
      <c r="A11" s="74" t="s">
        <v>253</v>
      </c>
      <c r="B11" s="22">
        <v>1</v>
      </c>
      <c r="C11" s="22">
        <v>4.5</v>
      </c>
      <c r="D11" s="22">
        <f t="shared" si="0"/>
        <v>1.4</v>
      </c>
      <c r="E11" s="9">
        <f t="shared" si="2"/>
        <v>0.45</v>
      </c>
      <c r="F11" s="9">
        <f t="shared" si="4"/>
        <v>6.3500000000000005</v>
      </c>
      <c r="G11" s="15">
        <f t="shared" si="1"/>
        <v>338.32800000000003</v>
      </c>
      <c r="H11" s="91">
        <v>338</v>
      </c>
      <c r="I11" s="18">
        <f t="shared" si="3"/>
        <v>-0.32800000000003138</v>
      </c>
    </row>
    <row r="12" spans="1:10" s="8" customFormat="1">
      <c r="A12" s="74" t="s">
        <v>107</v>
      </c>
      <c r="B12" s="22">
        <v>4</v>
      </c>
      <c r="C12" s="22">
        <v>20.149999999999999</v>
      </c>
      <c r="D12" s="22">
        <f t="shared" si="0"/>
        <v>5.6</v>
      </c>
      <c r="E12" s="9">
        <f t="shared" si="2"/>
        <v>2.0150000000000001</v>
      </c>
      <c r="F12" s="9">
        <f t="shared" si="4"/>
        <v>27.765000000000001</v>
      </c>
      <c r="G12" s="15">
        <f t="shared" si="1"/>
        <v>1479.3192000000001</v>
      </c>
      <c r="H12" s="91">
        <v>1480</v>
      </c>
      <c r="I12" s="18">
        <f t="shared" si="3"/>
        <v>0.68079999999986285</v>
      </c>
    </row>
    <row r="13" spans="1:10" s="8" customFormat="1">
      <c r="A13" s="74" t="s">
        <v>254</v>
      </c>
      <c r="B13" s="25">
        <v>1</v>
      </c>
      <c r="C13" s="66">
        <v>4.99</v>
      </c>
      <c r="D13" s="22">
        <f t="shared" si="0"/>
        <v>1.4</v>
      </c>
      <c r="E13" s="9">
        <f t="shared" si="2"/>
        <v>0.49900000000000005</v>
      </c>
      <c r="F13" s="9">
        <f t="shared" si="4"/>
        <v>6.8890000000000002</v>
      </c>
      <c r="G13" s="15">
        <f t="shared" si="1"/>
        <v>367.04592000000002</v>
      </c>
      <c r="H13" s="29">
        <v>367</v>
      </c>
      <c r="I13" s="18">
        <f>-G13+H13</f>
        <v>-4.592000000002372E-2</v>
      </c>
      <c r="J13" s="75"/>
    </row>
    <row r="14" spans="1:10" s="8" customFormat="1">
      <c r="A14" s="74" t="s">
        <v>255</v>
      </c>
      <c r="B14" s="24">
        <v>4</v>
      </c>
      <c r="C14" s="24">
        <v>54.14</v>
      </c>
      <c r="D14" s="22">
        <v>7</v>
      </c>
      <c r="E14" s="9">
        <f>C14*0.1</f>
        <v>5.4140000000000006</v>
      </c>
      <c r="F14" s="9">
        <f>C14+D14+E14</f>
        <v>66.554000000000002</v>
      </c>
      <c r="G14" s="15">
        <f t="shared" si="1"/>
        <v>3545.99712</v>
      </c>
      <c r="H14" s="29">
        <v>3546</v>
      </c>
      <c r="I14" s="18">
        <f>-G14+H14</f>
        <v>2.8800000000046566E-3</v>
      </c>
      <c r="J14" s="42"/>
    </row>
    <row r="15" spans="1:10" s="8" customFormat="1">
      <c r="A15" s="74" t="s">
        <v>165</v>
      </c>
      <c r="B15" s="24">
        <v>3</v>
      </c>
      <c r="C15" s="24">
        <v>10.06</v>
      </c>
      <c r="D15" s="22">
        <f t="shared" si="0"/>
        <v>4.1999999999999993</v>
      </c>
      <c r="E15" s="9">
        <f t="shared" ref="E15:E20" si="5">C15*0.1</f>
        <v>1.006</v>
      </c>
      <c r="F15" s="9">
        <f>C15+D15+E15</f>
        <v>15.266</v>
      </c>
      <c r="G15" s="15">
        <f t="shared" si="1"/>
        <v>813.37248</v>
      </c>
      <c r="H15" s="91">
        <v>813</v>
      </c>
      <c r="I15" s="18">
        <f t="shared" ref="I15:I18" si="6">-G15+H15</f>
        <v>-0.37247999999999593</v>
      </c>
    </row>
    <row r="16" spans="1:10" s="8" customFormat="1">
      <c r="A16" s="74" t="s">
        <v>209</v>
      </c>
      <c r="B16" s="24">
        <v>1</v>
      </c>
      <c r="C16" s="24">
        <v>5.95</v>
      </c>
      <c r="D16" s="22">
        <f t="shared" si="0"/>
        <v>1.4</v>
      </c>
      <c r="E16" s="9">
        <f t="shared" si="5"/>
        <v>0.59500000000000008</v>
      </c>
      <c r="F16" s="9">
        <f t="shared" ref="F16:F20" si="7">C16+D16+E16</f>
        <v>7.9449999999999994</v>
      </c>
      <c r="G16" s="15">
        <f t="shared" si="1"/>
        <v>423.30959999999999</v>
      </c>
      <c r="H16" s="29">
        <v>423</v>
      </c>
      <c r="I16" s="18">
        <f t="shared" si="6"/>
        <v>-0.309599999999989</v>
      </c>
    </row>
    <row r="17" spans="1:9" s="8" customFormat="1">
      <c r="A17" s="74" t="s">
        <v>228</v>
      </c>
      <c r="B17" s="31">
        <v>2</v>
      </c>
      <c r="C17" s="31">
        <v>9.25</v>
      </c>
      <c r="D17" s="22">
        <f t="shared" si="0"/>
        <v>2.8</v>
      </c>
      <c r="E17" s="9">
        <f t="shared" si="5"/>
        <v>0.92500000000000004</v>
      </c>
      <c r="F17" s="9">
        <f t="shared" si="7"/>
        <v>12.975000000000001</v>
      </c>
      <c r="G17" s="15">
        <f t="shared" si="1"/>
        <v>691.30800000000011</v>
      </c>
      <c r="H17" s="91">
        <v>691</v>
      </c>
      <c r="I17" s="18">
        <f t="shared" si="6"/>
        <v>-0.30800000000010641</v>
      </c>
    </row>
    <row r="18" spans="1:9" s="8" customFormat="1">
      <c r="A18" s="74" t="s">
        <v>256</v>
      </c>
      <c r="B18" s="22">
        <v>7</v>
      </c>
      <c r="C18" s="22">
        <v>26.55</v>
      </c>
      <c r="D18" s="22">
        <f t="shared" si="0"/>
        <v>9.7999999999999989</v>
      </c>
      <c r="E18" s="9">
        <f t="shared" si="5"/>
        <v>2.6550000000000002</v>
      </c>
      <c r="F18" s="9">
        <f t="shared" si="7"/>
        <v>39.005000000000003</v>
      </c>
      <c r="G18" s="15">
        <f t="shared" si="1"/>
        <v>2078.1864</v>
      </c>
      <c r="H18" s="91">
        <v>2080</v>
      </c>
      <c r="I18" s="18">
        <f t="shared" si="6"/>
        <v>1.8135999999999513</v>
      </c>
    </row>
    <row r="19" spans="1:9" s="8" customFormat="1">
      <c r="A19" s="74" t="s">
        <v>35</v>
      </c>
      <c r="B19" s="24">
        <v>2</v>
      </c>
      <c r="C19" s="24">
        <v>27.03</v>
      </c>
      <c r="D19" s="22">
        <v>9.1</v>
      </c>
      <c r="E19" s="9">
        <f t="shared" si="5"/>
        <v>2.7030000000000003</v>
      </c>
      <c r="F19" s="9">
        <f t="shared" si="7"/>
        <v>38.833000000000006</v>
      </c>
      <c r="G19" s="15">
        <f t="shared" si="1"/>
        <v>2069.0222400000002</v>
      </c>
      <c r="H19" s="29">
        <v>2069</v>
      </c>
      <c r="I19" s="18">
        <f>-G19+H19</f>
        <v>-2.2240000000238069E-2</v>
      </c>
    </row>
    <row r="20" spans="1:9" s="8" customFormat="1">
      <c r="A20" s="74" t="s">
        <v>257</v>
      </c>
      <c r="B20" s="22">
        <v>1</v>
      </c>
      <c r="C20" s="22">
        <v>24.95</v>
      </c>
      <c r="D20" s="22">
        <v>2.8</v>
      </c>
      <c r="E20" s="9">
        <f t="shared" si="5"/>
        <v>2.4950000000000001</v>
      </c>
      <c r="F20" s="9">
        <f t="shared" si="7"/>
        <v>30.245000000000001</v>
      </c>
      <c r="G20" s="15">
        <f t="shared" si="1"/>
        <v>1611.4536000000001</v>
      </c>
      <c r="H20" s="91">
        <v>1611</v>
      </c>
      <c r="I20" s="18">
        <f t="shared" ref="I20" si="8">-G20+H20</f>
        <v>-0.4536000000000513</v>
      </c>
    </row>
    <row r="21" spans="1:9" s="8" customFormat="1">
      <c r="A21" s="64"/>
      <c r="B21" s="46"/>
      <c r="C21" s="46"/>
      <c r="D21" s="47"/>
      <c r="E21" s="48"/>
      <c r="F21" s="48"/>
      <c r="G21" s="49"/>
      <c r="H21" s="50"/>
      <c r="I21" s="51"/>
    </row>
    <row r="23" spans="1:9" ht="26.25">
      <c r="A23" s="68" t="s">
        <v>233</v>
      </c>
    </row>
    <row r="24" spans="1:9">
      <c r="A24" s="92" t="s">
        <v>107</v>
      </c>
    </row>
    <row r="25" spans="1:9">
      <c r="A25" s="67" t="s">
        <v>258</v>
      </c>
    </row>
    <row r="26" spans="1:9">
      <c r="A26" s="67" t="s">
        <v>259</v>
      </c>
      <c r="B26" t="s">
        <v>260</v>
      </c>
    </row>
    <row r="27" spans="1:9">
      <c r="A27" s="93"/>
    </row>
    <row r="28" spans="1:9" ht="26.25">
      <c r="A28" s="68"/>
    </row>
    <row r="29" spans="1:9" ht="26.25">
      <c r="A29" s="68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0000"/>
  </sheetPr>
  <dimension ref="A1:J17"/>
  <sheetViews>
    <sheetView workbookViewId="0">
      <selection activeCell="H11" sqref="H11"/>
    </sheetView>
  </sheetViews>
  <sheetFormatPr defaultColWidth="9.140625" defaultRowHeight="15"/>
  <cols>
    <col min="1" max="1" width="22.140625" style="5" customWidth="1"/>
    <col min="2" max="3" width="15.7109375" style="5" customWidth="1"/>
    <col min="4" max="6" width="12.42578125" style="5" customWidth="1"/>
    <col min="7" max="7" width="11.7109375" style="5" customWidth="1"/>
    <col min="8" max="8" width="13.7109375" style="5" customWidth="1"/>
    <col min="9" max="9" width="14.7109375" style="5" customWidth="1"/>
    <col min="10" max="10" width="16.5703125" style="5" customWidth="1"/>
    <col min="11" max="11" width="63" style="5" customWidth="1"/>
    <col min="12" max="258" width="9.140625" style="5"/>
    <col min="259" max="259" width="22.140625" style="5" customWidth="1"/>
    <col min="260" max="261" width="15.7109375" style="5" customWidth="1"/>
    <col min="262" max="262" width="12.42578125" style="5" customWidth="1"/>
    <col min="263" max="263" width="17" style="5" customWidth="1"/>
    <col min="264" max="264" width="13.28515625" style="5" customWidth="1"/>
    <col min="265" max="265" width="14.7109375" style="5" customWidth="1"/>
    <col min="266" max="266" width="16.5703125" style="5" customWidth="1"/>
    <col min="267" max="267" width="63" style="5" customWidth="1"/>
    <col min="268" max="514" width="9.140625" style="5"/>
    <col min="515" max="515" width="22.140625" style="5" customWidth="1"/>
    <col min="516" max="517" width="15.7109375" style="5" customWidth="1"/>
    <col min="518" max="518" width="12.42578125" style="5" customWidth="1"/>
    <col min="519" max="519" width="17" style="5" customWidth="1"/>
    <col min="520" max="520" width="13.28515625" style="5" customWidth="1"/>
    <col min="521" max="521" width="14.7109375" style="5" customWidth="1"/>
    <col min="522" max="522" width="16.5703125" style="5" customWidth="1"/>
    <col min="523" max="523" width="63" style="5" customWidth="1"/>
    <col min="524" max="770" width="9.140625" style="5"/>
    <col min="771" max="771" width="22.140625" style="5" customWidth="1"/>
    <col min="772" max="773" width="15.7109375" style="5" customWidth="1"/>
    <col min="774" max="774" width="12.42578125" style="5" customWidth="1"/>
    <col min="775" max="775" width="17" style="5" customWidth="1"/>
    <col min="776" max="776" width="13.28515625" style="5" customWidth="1"/>
    <col min="777" max="777" width="14.7109375" style="5" customWidth="1"/>
    <col min="778" max="778" width="16.5703125" style="5" customWidth="1"/>
    <col min="779" max="779" width="63" style="5" customWidth="1"/>
    <col min="780" max="1026" width="9.140625" style="5"/>
    <col min="1027" max="1027" width="22.140625" style="5" customWidth="1"/>
    <col min="1028" max="1029" width="15.7109375" style="5" customWidth="1"/>
    <col min="1030" max="1030" width="12.42578125" style="5" customWidth="1"/>
    <col min="1031" max="1031" width="17" style="5" customWidth="1"/>
    <col min="1032" max="1032" width="13.28515625" style="5" customWidth="1"/>
    <col min="1033" max="1033" width="14.7109375" style="5" customWidth="1"/>
    <col min="1034" max="1034" width="16.5703125" style="5" customWidth="1"/>
    <col min="1035" max="1035" width="63" style="5" customWidth="1"/>
    <col min="1036" max="1282" width="9.140625" style="5"/>
    <col min="1283" max="1283" width="22.140625" style="5" customWidth="1"/>
    <col min="1284" max="1285" width="15.7109375" style="5" customWidth="1"/>
    <col min="1286" max="1286" width="12.42578125" style="5" customWidth="1"/>
    <col min="1287" max="1287" width="17" style="5" customWidth="1"/>
    <col min="1288" max="1288" width="13.28515625" style="5" customWidth="1"/>
    <col min="1289" max="1289" width="14.7109375" style="5" customWidth="1"/>
    <col min="1290" max="1290" width="16.5703125" style="5" customWidth="1"/>
    <col min="1291" max="1291" width="63" style="5" customWidth="1"/>
    <col min="1292" max="1538" width="9.140625" style="5"/>
    <col min="1539" max="1539" width="22.140625" style="5" customWidth="1"/>
    <col min="1540" max="1541" width="15.7109375" style="5" customWidth="1"/>
    <col min="1542" max="1542" width="12.42578125" style="5" customWidth="1"/>
    <col min="1543" max="1543" width="17" style="5" customWidth="1"/>
    <col min="1544" max="1544" width="13.28515625" style="5" customWidth="1"/>
    <col min="1545" max="1545" width="14.7109375" style="5" customWidth="1"/>
    <col min="1546" max="1546" width="16.5703125" style="5" customWidth="1"/>
    <col min="1547" max="1547" width="63" style="5" customWidth="1"/>
    <col min="1548" max="1794" width="9.140625" style="5"/>
    <col min="1795" max="1795" width="22.140625" style="5" customWidth="1"/>
    <col min="1796" max="1797" width="15.7109375" style="5" customWidth="1"/>
    <col min="1798" max="1798" width="12.42578125" style="5" customWidth="1"/>
    <col min="1799" max="1799" width="17" style="5" customWidth="1"/>
    <col min="1800" max="1800" width="13.28515625" style="5" customWidth="1"/>
    <col min="1801" max="1801" width="14.7109375" style="5" customWidth="1"/>
    <col min="1802" max="1802" width="16.5703125" style="5" customWidth="1"/>
    <col min="1803" max="1803" width="63" style="5" customWidth="1"/>
    <col min="1804" max="2050" width="9.140625" style="5"/>
    <col min="2051" max="2051" width="22.140625" style="5" customWidth="1"/>
    <col min="2052" max="2053" width="15.7109375" style="5" customWidth="1"/>
    <col min="2054" max="2054" width="12.42578125" style="5" customWidth="1"/>
    <col min="2055" max="2055" width="17" style="5" customWidth="1"/>
    <col min="2056" max="2056" width="13.28515625" style="5" customWidth="1"/>
    <col min="2057" max="2057" width="14.7109375" style="5" customWidth="1"/>
    <col min="2058" max="2058" width="16.5703125" style="5" customWidth="1"/>
    <col min="2059" max="2059" width="63" style="5" customWidth="1"/>
    <col min="2060" max="2306" width="9.140625" style="5"/>
    <col min="2307" max="2307" width="22.140625" style="5" customWidth="1"/>
    <col min="2308" max="2309" width="15.7109375" style="5" customWidth="1"/>
    <col min="2310" max="2310" width="12.42578125" style="5" customWidth="1"/>
    <col min="2311" max="2311" width="17" style="5" customWidth="1"/>
    <col min="2312" max="2312" width="13.28515625" style="5" customWidth="1"/>
    <col min="2313" max="2313" width="14.7109375" style="5" customWidth="1"/>
    <col min="2314" max="2314" width="16.5703125" style="5" customWidth="1"/>
    <col min="2315" max="2315" width="63" style="5" customWidth="1"/>
    <col min="2316" max="2562" width="9.140625" style="5"/>
    <col min="2563" max="2563" width="22.140625" style="5" customWidth="1"/>
    <col min="2564" max="2565" width="15.7109375" style="5" customWidth="1"/>
    <col min="2566" max="2566" width="12.42578125" style="5" customWidth="1"/>
    <col min="2567" max="2567" width="17" style="5" customWidth="1"/>
    <col min="2568" max="2568" width="13.28515625" style="5" customWidth="1"/>
    <col min="2569" max="2569" width="14.7109375" style="5" customWidth="1"/>
    <col min="2570" max="2570" width="16.5703125" style="5" customWidth="1"/>
    <col min="2571" max="2571" width="63" style="5" customWidth="1"/>
    <col min="2572" max="2818" width="9.140625" style="5"/>
    <col min="2819" max="2819" width="22.140625" style="5" customWidth="1"/>
    <col min="2820" max="2821" width="15.7109375" style="5" customWidth="1"/>
    <col min="2822" max="2822" width="12.42578125" style="5" customWidth="1"/>
    <col min="2823" max="2823" width="17" style="5" customWidth="1"/>
    <col min="2824" max="2824" width="13.28515625" style="5" customWidth="1"/>
    <col min="2825" max="2825" width="14.7109375" style="5" customWidth="1"/>
    <col min="2826" max="2826" width="16.5703125" style="5" customWidth="1"/>
    <col min="2827" max="2827" width="63" style="5" customWidth="1"/>
    <col min="2828" max="3074" width="9.140625" style="5"/>
    <col min="3075" max="3075" width="22.140625" style="5" customWidth="1"/>
    <col min="3076" max="3077" width="15.7109375" style="5" customWidth="1"/>
    <col min="3078" max="3078" width="12.42578125" style="5" customWidth="1"/>
    <col min="3079" max="3079" width="17" style="5" customWidth="1"/>
    <col min="3080" max="3080" width="13.28515625" style="5" customWidth="1"/>
    <col min="3081" max="3081" width="14.7109375" style="5" customWidth="1"/>
    <col min="3082" max="3082" width="16.5703125" style="5" customWidth="1"/>
    <col min="3083" max="3083" width="63" style="5" customWidth="1"/>
    <col min="3084" max="3330" width="9.140625" style="5"/>
    <col min="3331" max="3331" width="22.140625" style="5" customWidth="1"/>
    <col min="3332" max="3333" width="15.7109375" style="5" customWidth="1"/>
    <col min="3334" max="3334" width="12.42578125" style="5" customWidth="1"/>
    <col min="3335" max="3335" width="17" style="5" customWidth="1"/>
    <col min="3336" max="3336" width="13.28515625" style="5" customWidth="1"/>
    <col min="3337" max="3337" width="14.7109375" style="5" customWidth="1"/>
    <col min="3338" max="3338" width="16.5703125" style="5" customWidth="1"/>
    <col min="3339" max="3339" width="63" style="5" customWidth="1"/>
    <col min="3340" max="3586" width="9.140625" style="5"/>
    <col min="3587" max="3587" width="22.140625" style="5" customWidth="1"/>
    <col min="3588" max="3589" width="15.7109375" style="5" customWidth="1"/>
    <col min="3590" max="3590" width="12.42578125" style="5" customWidth="1"/>
    <col min="3591" max="3591" width="17" style="5" customWidth="1"/>
    <col min="3592" max="3592" width="13.28515625" style="5" customWidth="1"/>
    <col min="3593" max="3593" width="14.7109375" style="5" customWidth="1"/>
    <col min="3594" max="3594" width="16.5703125" style="5" customWidth="1"/>
    <col min="3595" max="3595" width="63" style="5" customWidth="1"/>
    <col min="3596" max="3842" width="9.140625" style="5"/>
    <col min="3843" max="3843" width="22.140625" style="5" customWidth="1"/>
    <col min="3844" max="3845" width="15.7109375" style="5" customWidth="1"/>
    <col min="3846" max="3846" width="12.42578125" style="5" customWidth="1"/>
    <col min="3847" max="3847" width="17" style="5" customWidth="1"/>
    <col min="3848" max="3848" width="13.28515625" style="5" customWidth="1"/>
    <col min="3849" max="3849" width="14.7109375" style="5" customWidth="1"/>
    <col min="3850" max="3850" width="16.5703125" style="5" customWidth="1"/>
    <col min="3851" max="3851" width="63" style="5" customWidth="1"/>
    <col min="3852" max="4098" width="9.140625" style="5"/>
    <col min="4099" max="4099" width="22.140625" style="5" customWidth="1"/>
    <col min="4100" max="4101" width="15.7109375" style="5" customWidth="1"/>
    <col min="4102" max="4102" width="12.42578125" style="5" customWidth="1"/>
    <col min="4103" max="4103" width="17" style="5" customWidth="1"/>
    <col min="4104" max="4104" width="13.28515625" style="5" customWidth="1"/>
    <col min="4105" max="4105" width="14.7109375" style="5" customWidth="1"/>
    <col min="4106" max="4106" width="16.5703125" style="5" customWidth="1"/>
    <col min="4107" max="4107" width="63" style="5" customWidth="1"/>
    <col min="4108" max="4354" width="9.140625" style="5"/>
    <col min="4355" max="4355" width="22.140625" style="5" customWidth="1"/>
    <col min="4356" max="4357" width="15.7109375" style="5" customWidth="1"/>
    <col min="4358" max="4358" width="12.42578125" style="5" customWidth="1"/>
    <col min="4359" max="4359" width="17" style="5" customWidth="1"/>
    <col min="4360" max="4360" width="13.28515625" style="5" customWidth="1"/>
    <col min="4361" max="4361" width="14.7109375" style="5" customWidth="1"/>
    <col min="4362" max="4362" width="16.5703125" style="5" customWidth="1"/>
    <col min="4363" max="4363" width="63" style="5" customWidth="1"/>
    <col min="4364" max="4610" width="9.140625" style="5"/>
    <col min="4611" max="4611" width="22.140625" style="5" customWidth="1"/>
    <col min="4612" max="4613" width="15.7109375" style="5" customWidth="1"/>
    <col min="4614" max="4614" width="12.42578125" style="5" customWidth="1"/>
    <col min="4615" max="4615" width="17" style="5" customWidth="1"/>
    <col min="4616" max="4616" width="13.28515625" style="5" customWidth="1"/>
    <col min="4617" max="4617" width="14.7109375" style="5" customWidth="1"/>
    <col min="4618" max="4618" width="16.5703125" style="5" customWidth="1"/>
    <col min="4619" max="4619" width="63" style="5" customWidth="1"/>
    <col min="4620" max="4866" width="9.140625" style="5"/>
    <col min="4867" max="4867" width="22.140625" style="5" customWidth="1"/>
    <col min="4868" max="4869" width="15.7109375" style="5" customWidth="1"/>
    <col min="4870" max="4870" width="12.42578125" style="5" customWidth="1"/>
    <col min="4871" max="4871" width="17" style="5" customWidth="1"/>
    <col min="4872" max="4872" width="13.28515625" style="5" customWidth="1"/>
    <col min="4873" max="4873" width="14.7109375" style="5" customWidth="1"/>
    <col min="4874" max="4874" width="16.5703125" style="5" customWidth="1"/>
    <col min="4875" max="4875" width="63" style="5" customWidth="1"/>
    <col min="4876" max="5122" width="9.140625" style="5"/>
    <col min="5123" max="5123" width="22.140625" style="5" customWidth="1"/>
    <col min="5124" max="5125" width="15.7109375" style="5" customWidth="1"/>
    <col min="5126" max="5126" width="12.42578125" style="5" customWidth="1"/>
    <col min="5127" max="5127" width="17" style="5" customWidth="1"/>
    <col min="5128" max="5128" width="13.28515625" style="5" customWidth="1"/>
    <col min="5129" max="5129" width="14.7109375" style="5" customWidth="1"/>
    <col min="5130" max="5130" width="16.5703125" style="5" customWidth="1"/>
    <col min="5131" max="5131" width="63" style="5" customWidth="1"/>
    <col min="5132" max="5378" width="9.140625" style="5"/>
    <col min="5379" max="5379" width="22.140625" style="5" customWidth="1"/>
    <col min="5380" max="5381" width="15.7109375" style="5" customWidth="1"/>
    <col min="5382" max="5382" width="12.42578125" style="5" customWidth="1"/>
    <col min="5383" max="5383" width="17" style="5" customWidth="1"/>
    <col min="5384" max="5384" width="13.28515625" style="5" customWidth="1"/>
    <col min="5385" max="5385" width="14.7109375" style="5" customWidth="1"/>
    <col min="5386" max="5386" width="16.5703125" style="5" customWidth="1"/>
    <col min="5387" max="5387" width="63" style="5" customWidth="1"/>
    <col min="5388" max="5634" width="9.140625" style="5"/>
    <col min="5635" max="5635" width="22.140625" style="5" customWidth="1"/>
    <col min="5636" max="5637" width="15.7109375" style="5" customWidth="1"/>
    <col min="5638" max="5638" width="12.42578125" style="5" customWidth="1"/>
    <col min="5639" max="5639" width="17" style="5" customWidth="1"/>
    <col min="5640" max="5640" width="13.28515625" style="5" customWidth="1"/>
    <col min="5641" max="5641" width="14.7109375" style="5" customWidth="1"/>
    <col min="5642" max="5642" width="16.5703125" style="5" customWidth="1"/>
    <col min="5643" max="5643" width="63" style="5" customWidth="1"/>
    <col min="5644" max="5890" width="9.140625" style="5"/>
    <col min="5891" max="5891" width="22.140625" style="5" customWidth="1"/>
    <col min="5892" max="5893" width="15.7109375" style="5" customWidth="1"/>
    <col min="5894" max="5894" width="12.42578125" style="5" customWidth="1"/>
    <col min="5895" max="5895" width="17" style="5" customWidth="1"/>
    <col min="5896" max="5896" width="13.28515625" style="5" customWidth="1"/>
    <col min="5897" max="5897" width="14.7109375" style="5" customWidth="1"/>
    <col min="5898" max="5898" width="16.5703125" style="5" customWidth="1"/>
    <col min="5899" max="5899" width="63" style="5" customWidth="1"/>
    <col min="5900" max="6146" width="9.140625" style="5"/>
    <col min="6147" max="6147" width="22.140625" style="5" customWidth="1"/>
    <col min="6148" max="6149" width="15.7109375" style="5" customWidth="1"/>
    <col min="6150" max="6150" width="12.42578125" style="5" customWidth="1"/>
    <col min="6151" max="6151" width="17" style="5" customWidth="1"/>
    <col min="6152" max="6152" width="13.28515625" style="5" customWidth="1"/>
    <col min="6153" max="6153" width="14.7109375" style="5" customWidth="1"/>
    <col min="6154" max="6154" width="16.5703125" style="5" customWidth="1"/>
    <col min="6155" max="6155" width="63" style="5" customWidth="1"/>
    <col min="6156" max="6402" width="9.140625" style="5"/>
    <col min="6403" max="6403" width="22.140625" style="5" customWidth="1"/>
    <col min="6404" max="6405" width="15.7109375" style="5" customWidth="1"/>
    <col min="6406" max="6406" width="12.42578125" style="5" customWidth="1"/>
    <col min="6407" max="6407" width="17" style="5" customWidth="1"/>
    <col min="6408" max="6408" width="13.28515625" style="5" customWidth="1"/>
    <col min="6409" max="6409" width="14.7109375" style="5" customWidth="1"/>
    <col min="6410" max="6410" width="16.5703125" style="5" customWidth="1"/>
    <col min="6411" max="6411" width="63" style="5" customWidth="1"/>
    <col min="6412" max="6658" width="9.140625" style="5"/>
    <col min="6659" max="6659" width="22.140625" style="5" customWidth="1"/>
    <col min="6660" max="6661" width="15.7109375" style="5" customWidth="1"/>
    <col min="6662" max="6662" width="12.42578125" style="5" customWidth="1"/>
    <col min="6663" max="6663" width="17" style="5" customWidth="1"/>
    <col min="6664" max="6664" width="13.28515625" style="5" customWidth="1"/>
    <col min="6665" max="6665" width="14.7109375" style="5" customWidth="1"/>
    <col min="6666" max="6666" width="16.5703125" style="5" customWidth="1"/>
    <col min="6667" max="6667" width="63" style="5" customWidth="1"/>
    <col min="6668" max="6914" width="9.140625" style="5"/>
    <col min="6915" max="6915" width="22.140625" style="5" customWidth="1"/>
    <col min="6916" max="6917" width="15.7109375" style="5" customWidth="1"/>
    <col min="6918" max="6918" width="12.42578125" style="5" customWidth="1"/>
    <col min="6919" max="6919" width="17" style="5" customWidth="1"/>
    <col min="6920" max="6920" width="13.28515625" style="5" customWidth="1"/>
    <col min="6921" max="6921" width="14.7109375" style="5" customWidth="1"/>
    <col min="6922" max="6922" width="16.5703125" style="5" customWidth="1"/>
    <col min="6923" max="6923" width="63" style="5" customWidth="1"/>
    <col min="6924" max="7170" width="9.140625" style="5"/>
    <col min="7171" max="7171" width="22.140625" style="5" customWidth="1"/>
    <col min="7172" max="7173" width="15.7109375" style="5" customWidth="1"/>
    <col min="7174" max="7174" width="12.42578125" style="5" customWidth="1"/>
    <col min="7175" max="7175" width="17" style="5" customWidth="1"/>
    <col min="7176" max="7176" width="13.28515625" style="5" customWidth="1"/>
    <col min="7177" max="7177" width="14.7109375" style="5" customWidth="1"/>
    <col min="7178" max="7178" width="16.5703125" style="5" customWidth="1"/>
    <col min="7179" max="7179" width="63" style="5" customWidth="1"/>
    <col min="7180" max="7426" width="9.140625" style="5"/>
    <col min="7427" max="7427" width="22.140625" style="5" customWidth="1"/>
    <col min="7428" max="7429" width="15.7109375" style="5" customWidth="1"/>
    <col min="7430" max="7430" width="12.42578125" style="5" customWidth="1"/>
    <col min="7431" max="7431" width="17" style="5" customWidth="1"/>
    <col min="7432" max="7432" width="13.28515625" style="5" customWidth="1"/>
    <col min="7433" max="7433" width="14.7109375" style="5" customWidth="1"/>
    <col min="7434" max="7434" width="16.5703125" style="5" customWidth="1"/>
    <col min="7435" max="7435" width="63" style="5" customWidth="1"/>
    <col min="7436" max="7682" width="9.140625" style="5"/>
    <col min="7683" max="7683" width="22.140625" style="5" customWidth="1"/>
    <col min="7684" max="7685" width="15.7109375" style="5" customWidth="1"/>
    <col min="7686" max="7686" width="12.42578125" style="5" customWidth="1"/>
    <col min="7687" max="7687" width="17" style="5" customWidth="1"/>
    <col min="7688" max="7688" width="13.28515625" style="5" customWidth="1"/>
    <col min="7689" max="7689" width="14.7109375" style="5" customWidth="1"/>
    <col min="7690" max="7690" width="16.5703125" style="5" customWidth="1"/>
    <col min="7691" max="7691" width="63" style="5" customWidth="1"/>
    <col min="7692" max="7938" width="9.140625" style="5"/>
    <col min="7939" max="7939" width="22.140625" style="5" customWidth="1"/>
    <col min="7940" max="7941" width="15.7109375" style="5" customWidth="1"/>
    <col min="7942" max="7942" width="12.42578125" style="5" customWidth="1"/>
    <col min="7943" max="7943" width="17" style="5" customWidth="1"/>
    <col min="7944" max="7944" width="13.28515625" style="5" customWidth="1"/>
    <col min="7945" max="7945" width="14.7109375" style="5" customWidth="1"/>
    <col min="7946" max="7946" width="16.5703125" style="5" customWidth="1"/>
    <col min="7947" max="7947" width="63" style="5" customWidth="1"/>
    <col min="7948" max="8194" width="9.140625" style="5"/>
    <col min="8195" max="8195" width="22.140625" style="5" customWidth="1"/>
    <col min="8196" max="8197" width="15.7109375" style="5" customWidth="1"/>
    <col min="8198" max="8198" width="12.42578125" style="5" customWidth="1"/>
    <col min="8199" max="8199" width="17" style="5" customWidth="1"/>
    <col min="8200" max="8200" width="13.28515625" style="5" customWidth="1"/>
    <col min="8201" max="8201" width="14.7109375" style="5" customWidth="1"/>
    <col min="8202" max="8202" width="16.5703125" style="5" customWidth="1"/>
    <col min="8203" max="8203" width="63" style="5" customWidth="1"/>
    <col min="8204" max="8450" width="9.140625" style="5"/>
    <col min="8451" max="8451" width="22.140625" style="5" customWidth="1"/>
    <col min="8452" max="8453" width="15.7109375" style="5" customWidth="1"/>
    <col min="8454" max="8454" width="12.42578125" style="5" customWidth="1"/>
    <col min="8455" max="8455" width="17" style="5" customWidth="1"/>
    <col min="8456" max="8456" width="13.28515625" style="5" customWidth="1"/>
    <col min="8457" max="8457" width="14.7109375" style="5" customWidth="1"/>
    <col min="8458" max="8458" width="16.5703125" style="5" customWidth="1"/>
    <col min="8459" max="8459" width="63" style="5" customWidth="1"/>
    <col min="8460" max="8706" width="9.140625" style="5"/>
    <col min="8707" max="8707" width="22.140625" style="5" customWidth="1"/>
    <col min="8708" max="8709" width="15.7109375" style="5" customWidth="1"/>
    <col min="8710" max="8710" width="12.42578125" style="5" customWidth="1"/>
    <col min="8711" max="8711" width="17" style="5" customWidth="1"/>
    <col min="8712" max="8712" width="13.28515625" style="5" customWidth="1"/>
    <col min="8713" max="8713" width="14.7109375" style="5" customWidth="1"/>
    <col min="8714" max="8714" width="16.5703125" style="5" customWidth="1"/>
    <col min="8715" max="8715" width="63" style="5" customWidth="1"/>
    <col min="8716" max="8962" width="9.140625" style="5"/>
    <col min="8963" max="8963" width="22.140625" style="5" customWidth="1"/>
    <col min="8964" max="8965" width="15.7109375" style="5" customWidth="1"/>
    <col min="8966" max="8966" width="12.42578125" style="5" customWidth="1"/>
    <col min="8967" max="8967" width="17" style="5" customWidth="1"/>
    <col min="8968" max="8968" width="13.28515625" style="5" customWidth="1"/>
    <col min="8969" max="8969" width="14.7109375" style="5" customWidth="1"/>
    <col min="8970" max="8970" width="16.5703125" style="5" customWidth="1"/>
    <col min="8971" max="8971" width="63" style="5" customWidth="1"/>
    <col min="8972" max="9218" width="9.140625" style="5"/>
    <col min="9219" max="9219" width="22.140625" style="5" customWidth="1"/>
    <col min="9220" max="9221" width="15.7109375" style="5" customWidth="1"/>
    <col min="9222" max="9222" width="12.42578125" style="5" customWidth="1"/>
    <col min="9223" max="9223" width="17" style="5" customWidth="1"/>
    <col min="9224" max="9224" width="13.28515625" style="5" customWidth="1"/>
    <col min="9225" max="9225" width="14.7109375" style="5" customWidth="1"/>
    <col min="9226" max="9226" width="16.5703125" style="5" customWidth="1"/>
    <col min="9227" max="9227" width="63" style="5" customWidth="1"/>
    <col min="9228" max="9474" width="9.140625" style="5"/>
    <col min="9475" max="9475" width="22.140625" style="5" customWidth="1"/>
    <col min="9476" max="9477" width="15.7109375" style="5" customWidth="1"/>
    <col min="9478" max="9478" width="12.42578125" style="5" customWidth="1"/>
    <col min="9479" max="9479" width="17" style="5" customWidth="1"/>
    <col min="9480" max="9480" width="13.28515625" style="5" customWidth="1"/>
    <col min="9481" max="9481" width="14.7109375" style="5" customWidth="1"/>
    <col min="9482" max="9482" width="16.5703125" style="5" customWidth="1"/>
    <col min="9483" max="9483" width="63" style="5" customWidth="1"/>
    <col min="9484" max="9730" width="9.140625" style="5"/>
    <col min="9731" max="9731" width="22.140625" style="5" customWidth="1"/>
    <col min="9732" max="9733" width="15.7109375" style="5" customWidth="1"/>
    <col min="9734" max="9734" width="12.42578125" style="5" customWidth="1"/>
    <col min="9735" max="9735" width="17" style="5" customWidth="1"/>
    <col min="9736" max="9736" width="13.28515625" style="5" customWidth="1"/>
    <col min="9737" max="9737" width="14.7109375" style="5" customWidth="1"/>
    <col min="9738" max="9738" width="16.5703125" style="5" customWidth="1"/>
    <col min="9739" max="9739" width="63" style="5" customWidth="1"/>
    <col min="9740" max="9986" width="9.140625" style="5"/>
    <col min="9987" max="9987" width="22.140625" style="5" customWidth="1"/>
    <col min="9988" max="9989" width="15.7109375" style="5" customWidth="1"/>
    <col min="9990" max="9990" width="12.42578125" style="5" customWidth="1"/>
    <col min="9991" max="9991" width="17" style="5" customWidth="1"/>
    <col min="9992" max="9992" width="13.28515625" style="5" customWidth="1"/>
    <col min="9993" max="9993" width="14.7109375" style="5" customWidth="1"/>
    <col min="9994" max="9994" width="16.5703125" style="5" customWidth="1"/>
    <col min="9995" max="9995" width="63" style="5" customWidth="1"/>
    <col min="9996" max="10242" width="9.140625" style="5"/>
    <col min="10243" max="10243" width="22.140625" style="5" customWidth="1"/>
    <col min="10244" max="10245" width="15.7109375" style="5" customWidth="1"/>
    <col min="10246" max="10246" width="12.42578125" style="5" customWidth="1"/>
    <col min="10247" max="10247" width="17" style="5" customWidth="1"/>
    <col min="10248" max="10248" width="13.28515625" style="5" customWidth="1"/>
    <col min="10249" max="10249" width="14.7109375" style="5" customWidth="1"/>
    <col min="10250" max="10250" width="16.5703125" style="5" customWidth="1"/>
    <col min="10251" max="10251" width="63" style="5" customWidth="1"/>
    <col min="10252" max="10498" width="9.140625" style="5"/>
    <col min="10499" max="10499" width="22.140625" style="5" customWidth="1"/>
    <col min="10500" max="10501" width="15.7109375" style="5" customWidth="1"/>
    <col min="10502" max="10502" width="12.42578125" style="5" customWidth="1"/>
    <col min="10503" max="10503" width="17" style="5" customWidth="1"/>
    <col min="10504" max="10504" width="13.28515625" style="5" customWidth="1"/>
    <col min="10505" max="10505" width="14.7109375" style="5" customWidth="1"/>
    <col min="10506" max="10506" width="16.5703125" style="5" customWidth="1"/>
    <col min="10507" max="10507" width="63" style="5" customWidth="1"/>
    <col min="10508" max="10754" width="9.140625" style="5"/>
    <col min="10755" max="10755" width="22.140625" style="5" customWidth="1"/>
    <col min="10756" max="10757" width="15.7109375" style="5" customWidth="1"/>
    <col min="10758" max="10758" width="12.42578125" style="5" customWidth="1"/>
    <col min="10759" max="10759" width="17" style="5" customWidth="1"/>
    <col min="10760" max="10760" width="13.28515625" style="5" customWidth="1"/>
    <col min="10761" max="10761" width="14.7109375" style="5" customWidth="1"/>
    <col min="10762" max="10762" width="16.5703125" style="5" customWidth="1"/>
    <col min="10763" max="10763" width="63" style="5" customWidth="1"/>
    <col min="10764" max="11010" width="9.140625" style="5"/>
    <col min="11011" max="11011" width="22.140625" style="5" customWidth="1"/>
    <col min="11012" max="11013" width="15.7109375" style="5" customWidth="1"/>
    <col min="11014" max="11014" width="12.42578125" style="5" customWidth="1"/>
    <col min="11015" max="11015" width="17" style="5" customWidth="1"/>
    <col min="11016" max="11016" width="13.28515625" style="5" customWidth="1"/>
    <col min="11017" max="11017" width="14.7109375" style="5" customWidth="1"/>
    <col min="11018" max="11018" width="16.5703125" style="5" customWidth="1"/>
    <col min="11019" max="11019" width="63" style="5" customWidth="1"/>
    <col min="11020" max="11266" width="9.140625" style="5"/>
    <col min="11267" max="11267" width="22.140625" style="5" customWidth="1"/>
    <col min="11268" max="11269" width="15.7109375" style="5" customWidth="1"/>
    <col min="11270" max="11270" width="12.42578125" style="5" customWidth="1"/>
    <col min="11271" max="11271" width="17" style="5" customWidth="1"/>
    <col min="11272" max="11272" width="13.28515625" style="5" customWidth="1"/>
    <col min="11273" max="11273" width="14.7109375" style="5" customWidth="1"/>
    <col min="11274" max="11274" width="16.5703125" style="5" customWidth="1"/>
    <col min="11275" max="11275" width="63" style="5" customWidth="1"/>
    <col min="11276" max="11522" width="9.140625" style="5"/>
    <col min="11523" max="11523" width="22.140625" style="5" customWidth="1"/>
    <col min="11524" max="11525" width="15.7109375" style="5" customWidth="1"/>
    <col min="11526" max="11526" width="12.42578125" style="5" customWidth="1"/>
    <col min="11527" max="11527" width="17" style="5" customWidth="1"/>
    <col min="11528" max="11528" width="13.28515625" style="5" customWidth="1"/>
    <col min="11529" max="11529" width="14.7109375" style="5" customWidth="1"/>
    <col min="11530" max="11530" width="16.5703125" style="5" customWidth="1"/>
    <col min="11531" max="11531" width="63" style="5" customWidth="1"/>
    <col min="11532" max="11778" width="9.140625" style="5"/>
    <col min="11779" max="11779" width="22.140625" style="5" customWidth="1"/>
    <col min="11780" max="11781" width="15.7109375" style="5" customWidth="1"/>
    <col min="11782" max="11782" width="12.42578125" style="5" customWidth="1"/>
    <col min="11783" max="11783" width="17" style="5" customWidth="1"/>
    <col min="11784" max="11784" width="13.28515625" style="5" customWidth="1"/>
    <col min="11785" max="11785" width="14.7109375" style="5" customWidth="1"/>
    <col min="11786" max="11786" width="16.5703125" style="5" customWidth="1"/>
    <col min="11787" max="11787" width="63" style="5" customWidth="1"/>
    <col min="11788" max="12034" width="9.140625" style="5"/>
    <col min="12035" max="12035" width="22.140625" style="5" customWidth="1"/>
    <col min="12036" max="12037" width="15.7109375" style="5" customWidth="1"/>
    <col min="12038" max="12038" width="12.42578125" style="5" customWidth="1"/>
    <col min="12039" max="12039" width="17" style="5" customWidth="1"/>
    <col min="12040" max="12040" width="13.28515625" style="5" customWidth="1"/>
    <col min="12041" max="12041" width="14.7109375" style="5" customWidth="1"/>
    <col min="12042" max="12042" width="16.5703125" style="5" customWidth="1"/>
    <col min="12043" max="12043" width="63" style="5" customWidth="1"/>
    <col min="12044" max="12290" width="9.140625" style="5"/>
    <col min="12291" max="12291" width="22.140625" style="5" customWidth="1"/>
    <col min="12292" max="12293" width="15.7109375" style="5" customWidth="1"/>
    <col min="12294" max="12294" width="12.42578125" style="5" customWidth="1"/>
    <col min="12295" max="12295" width="17" style="5" customWidth="1"/>
    <col min="12296" max="12296" width="13.28515625" style="5" customWidth="1"/>
    <col min="12297" max="12297" width="14.7109375" style="5" customWidth="1"/>
    <col min="12298" max="12298" width="16.5703125" style="5" customWidth="1"/>
    <col min="12299" max="12299" width="63" style="5" customWidth="1"/>
    <col min="12300" max="12546" width="9.140625" style="5"/>
    <col min="12547" max="12547" width="22.140625" style="5" customWidth="1"/>
    <col min="12548" max="12549" width="15.7109375" style="5" customWidth="1"/>
    <col min="12550" max="12550" width="12.42578125" style="5" customWidth="1"/>
    <col min="12551" max="12551" width="17" style="5" customWidth="1"/>
    <col min="12552" max="12552" width="13.28515625" style="5" customWidth="1"/>
    <col min="12553" max="12553" width="14.7109375" style="5" customWidth="1"/>
    <col min="12554" max="12554" width="16.5703125" style="5" customWidth="1"/>
    <col min="12555" max="12555" width="63" style="5" customWidth="1"/>
    <col min="12556" max="12802" width="9.140625" style="5"/>
    <col min="12803" max="12803" width="22.140625" style="5" customWidth="1"/>
    <col min="12804" max="12805" width="15.7109375" style="5" customWidth="1"/>
    <col min="12806" max="12806" width="12.42578125" style="5" customWidth="1"/>
    <col min="12807" max="12807" width="17" style="5" customWidth="1"/>
    <col min="12808" max="12808" width="13.28515625" style="5" customWidth="1"/>
    <col min="12809" max="12809" width="14.7109375" style="5" customWidth="1"/>
    <col min="12810" max="12810" width="16.5703125" style="5" customWidth="1"/>
    <col min="12811" max="12811" width="63" style="5" customWidth="1"/>
    <col min="12812" max="13058" width="9.140625" style="5"/>
    <col min="13059" max="13059" width="22.140625" style="5" customWidth="1"/>
    <col min="13060" max="13061" width="15.7109375" style="5" customWidth="1"/>
    <col min="13062" max="13062" width="12.42578125" style="5" customWidth="1"/>
    <col min="13063" max="13063" width="17" style="5" customWidth="1"/>
    <col min="13064" max="13064" width="13.28515625" style="5" customWidth="1"/>
    <col min="13065" max="13065" width="14.7109375" style="5" customWidth="1"/>
    <col min="13066" max="13066" width="16.5703125" style="5" customWidth="1"/>
    <col min="13067" max="13067" width="63" style="5" customWidth="1"/>
    <col min="13068" max="13314" width="9.140625" style="5"/>
    <col min="13315" max="13315" width="22.140625" style="5" customWidth="1"/>
    <col min="13316" max="13317" width="15.7109375" style="5" customWidth="1"/>
    <col min="13318" max="13318" width="12.42578125" style="5" customWidth="1"/>
    <col min="13319" max="13319" width="17" style="5" customWidth="1"/>
    <col min="13320" max="13320" width="13.28515625" style="5" customWidth="1"/>
    <col min="13321" max="13321" width="14.7109375" style="5" customWidth="1"/>
    <col min="13322" max="13322" width="16.5703125" style="5" customWidth="1"/>
    <col min="13323" max="13323" width="63" style="5" customWidth="1"/>
    <col min="13324" max="13570" width="9.140625" style="5"/>
    <col min="13571" max="13571" width="22.140625" style="5" customWidth="1"/>
    <col min="13572" max="13573" width="15.7109375" style="5" customWidth="1"/>
    <col min="13574" max="13574" width="12.42578125" style="5" customWidth="1"/>
    <col min="13575" max="13575" width="17" style="5" customWidth="1"/>
    <col min="13576" max="13576" width="13.28515625" style="5" customWidth="1"/>
    <col min="13577" max="13577" width="14.7109375" style="5" customWidth="1"/>
    <col min="13578" max="13578" width="16.5703125" style="5" customWidth="1"/>
    <col min="13579" max="13579" width="63" style="5" customWidth="1"/>
    <col min="13580" max="13826" width="9.140625" style="5"/>
    <col min="13827" max="13827" width="22.140625" style="5" customWidth="1"/>
    <col min="13828" max="13829" width="15.7109375" style="5" customWidth="1"/>
    <col min="13830" max="13830" width="12.42578125" style="5" customWidth="1"/>
    <col min="13831" max="13831" width="17" style="5" customWidth="1"/>
    <col min="13832" max="13832" width="13.28515625" style="5" customWidth="1"/>
    <col min="13833" max="13833" width="14.7109375" style="5" customWidth="1"/>
    <col min="13834" max="13834" width="16.5703125" style="5" customWidth="1"/>
    <col min="13835" max="13835" width="63" style="5" customWidth="1"/>
    <col min="13836" max="14082" width="9.140625" style="5"/>
    <col min="14083" max="14083" width="22.140625" style="5" customWidth="1"/>
    <col min="14084" max="14085" width="15.7109375" style="5" customWidth="1"/>
    <col min="14086" max="14086" width="12.42578125" style="5" customWidth="1"/>
    <col min="14087" max="14087" width="17" style="5" customWidth="1"/>
    <col min="14088" max="14088" width="13.28515625" style="5" customWidth="1"/>
    <col min="14089" max="14089" width="14.7109375" style="5" customWidth="1"/>
    <col min="14090" max="14090" width="16.5703125" style="5" customWidth="1"/>
    <col min="14091" max="14091" width="63" style="5" customWidth="1"/>
    <col min="14092" max="14338" width="9.140625" style="5"/>
    <col min="14339" max="14339" width="22.140625" style="5" customWidth="1"/>
    <col min="14340" max="14341" width="15.7109375" style="5" customWidth="1"/>
    <col min="14342" max="14342" width="12.42578125" style="5" customWidth="1"/>
    <col min="14343" max="14343" width="17" style="5" customWidth="1"/>
    <col min="14344" max="14344" width="13.28515625" style="5" customWidth="1"/>
    <col min="14345" max="14345" width="14.7109375" style="5" customWidth="1"/>
    <col min="14346" max="14346" width="16.5703125" style="5" customWidth="1"/>
    <col min="14347" max="14347" width="63" style="5" customWidth="1"/>
    <col min="14348" max="14594" width="9.140625" style="5"/>
    <col min="14595" max="14595" width="22.140625" style="5" customWidth="1"/>
    <col min="14596" max="14597" width="15.7109375" style="5" customWidth="1"/>
    <col min="14598" max="14598" width="12.42578125" style="5" customWidth="1"/>
    <col min="14599" max="14599" width="17" style="5" customWidth="1"/>
    <col min="14600" max="14600" width="13.28515625" style="5" customWidth="1"/>
    <col min="14601" max="14601" width="14.7109375" style="5" customWidth="1"/>
    <col min="14602" max="14602" width="16.5703125" style="5" customWidth="1"/>
    <col min="14603" max="14603" width="63" style="5" customWidth="1"/>
    <col min="14604" max="14850" width="9.140625" style="5"/>
    <col min="14851" max="14851" width="22.140625" style="5" customWidth="1"/>
    <col min="14852" max="14853" width="15.7109375" style="5" customWidth="1"/>
    <col min="14854" max="14854" width="12.42578125" style="5" customWidth="1"/>
    <col min="14855" max="14855" width="17" style="5" customWidth="1"/>
    <col min="14856" max="14856" width="13.28515625" style="5" customWidth="1"/>
    <col min="14857" max="14857" width="14.7109375" style="5" customWidth="1"/>
    <col min="14858" max="14858" width="16.5703125" style="5" customWidth="1"/>
    <col min="14859" max="14859" width="63" style="5" customWidth="1"/>
    <col min="14860" max="15106" width="9.140625" style="5"/>
    <col min="15107" max="15107" width="22.140625" style="5" customWidth="1"/>
    <col min="15108" max="15109" width="15.7109375" style="5" customWidth="1"/>
    <col min="15110" max="15110" width="12.42578125" style="5" customWidth="1"/>
    <col min="15111" max="15111" width="17" style="5" customWidth="1"/>
    <col min="15112" max="15112" width="13.28515625" style="5" customWidth="1"/>
    <col min="15113" max="15113" width="14.7109375" style="5" customWidth="1"/>
    <col min="15114" max="15114" width="16.5703125" style="5" customWidth="1"/>
    <col min="15115" max="15115" width="63" style="5" customWidth="1"/>
    <col min="15116" max="15362" width="9.140625" style="5"/>
    <col min="15363" max="15363" width="22.140625" style="5" customWidth="1"/>
    <col min="15364" max="15365" width="15.7109375" style="5" customWidth="1"/>
    <col min="15366" max="15366" width="12.42578125" style="5" customWidth="1"/>
    <col min="15367" max="15367" width="17" style="5" customWidth="1"/>
    <col min="15368" max="15368" width="13.28515625" style="5" customWidth="1"/>
    <col min="15369" max="15369" width="14.7109375" style="5" customWidth="1"/>
    <col min="15370" max="15370" width="16.5703125" style="5" customWidth="1"/>
    <col min="15371" max="15371" width="63" style="5" customWidth="1"/>
    <col min="15372" max="15618" width="9.140625" style="5"/>
    <col min="15619" max="15619" width="22.140625" style="5" customWidth="1"/>
    <col min="15620" max="15621" width="15.7109375" style="5" customWidth="1"/>
    <col min="15622" max="15622" width="12.42578125" style="5" customWidth="1"/>
    <col min="15623" max="15623" width="17" style="5" customWidth="1"/>
    <col min="15624" max="15624" width="13.28515625" style="5" customWidth="1"/>
    <col min="15625" max="15625" width="14.7109375" style="5" customWidth="1"/>
    <col min="15626" max="15626" width="16.5703125" style="5" customWidth="1"/>
    <col min="15627" max="15627" width="63" style="5" customWidth="1"/>
    <col min="15628" max="15874" width="9.140625" style="5"/>
    <col min="15875" max="15875" width="22.140625" style="5" customWidth="1"/>
    <col min="15876" max="15877" width="15.7109375" style="5" customWidth="1"/>
    <col min="15878" max="15878" width="12.42578125" style="5" customWidth="1"/>
    <col min="15879" max="15879" width="17" style="5" customWidth="1"/>
    <col min="15880" max="15880" width="13.28515625" style="5" customWidth="1"/>
    <col min="15881" max="15881" width="14.7109375" style="5" customWidth="1"/>
    <col min="15882" max="15882" width="16.5703125" style="5" customWidth="1"/>
    <col min="15883" max="15883" width="63" style="5" customWidth="1"/>
    <col min="15884" max="16130" width="9.140625" style="5"/>
    <col min="16131" max="16131" width="22.140625" style="5" customWidth="1"/>
    <col min="16132" max="16133" width="15.7109375" style="5" customWidth="1"/>
    <col min="16134" max="16134" width="12.42578125" style="5" customWidth="1"/>
    <col min="16135" max="16135" width="17" style="5" customWidth="1"/>
    <col min="16136" max="16136" width="13.28515625" style="5" customWidth="1"/>
    <col min="16137" max="16137" width="14.7109375" style="5" customWidth="1"/>
    <col min="16138" max="16138" width="16.5703125" style="5" customWidth="1"/>
    <col min="16139" max="16139" width="63" style="5" customWidth="1"/>
    <col min="16140" max="16384" width="9.140625" style="5"/>
  </cols>
  <sheetData>
    <row r="1" spans="1:10" ht="21">
      <c r="A1" s="1" t="s">
        <v>0</v>
      </c>
      <c r="B1" s="2">
        <v>41257</v>
      </c>
      <c r="C1" s="3" t="s">
        <v>1</v>
      </c>
      <c r="D1" s="4">
        <v>30.69</v>
      </c>
      <c r="E1" s="4"/>
      <c r="F1" s="5" t="s">
        <v>2</v>
      </c>
    </row>
    <row r="3" spans="1:10" s="8" customFormat="1" ht="30" customHeight="1">
      <c r="A3" s="6" t="s">
        <v>3</v>
      </c>
      <c r="B3" s="7" t="s">
        <v>17</v>
      </c>
      <c r="C3" s="7" t="s">
        <v>4</v>
      </c>
      <c r="D3" s="7" t="s">
        <v>5</v>
      </c>
      <c r="E3" s="7" t="s">
        <v>19</v>
      </c>
      <c r="F3" s="6" t="s">
        <v>18</v>
      </c>
      <c r="G3" s="6" t="s">
        <v>6</v>
      </c>
      <c r="H3" s="6" t="s">
        <v>7</v>
      </c>
      <c r="I3" s="6" t="s">
        <v>8</v>
      </c>
    </row>
    <row r="4" spans="1:10" s="8" customFormat="1">
      <c r="A4" s="9" t="s">
        <v>10</v>
      </c>
      <c r="B4" s="9">
        <v>6</v>
      </c>
      <c r="C4" s="9">
        <v>22.25</v>
      </c>
      <c r="D4" s="9">
        <f>1.62*B4</f>
        <v>9.7200000000000006</v>
      </c>
      <c r="E4" s="9"/>
      <c r="F4" s="9">
        <f>C4+D4</f>
        <v>31.97</v>
      </c>
      <c r="G4" s="16"/>
      <c r="H4" s="17"/>
      <c r="I4" s="17"/>
    </row>
    <row r="5" spans="1:10" s="8" customFormat="1">
      <c r="A5" s="9" t="s">
        <v>11</v>
      </c>
      <c r="B5" s="9">
        <v>11</v>
      </c>
      <c r="C5" s="9">
        <v>68.7</v>
      </c>
      <c r="D5" s="9">
        <f t="shared" ref="D5:D11" si="0">1.62*B5</f>
        <v>17.82</v>
      </c>
      <c r="E5" s="9">
        <f>C5*0.05</f>
        <v>3.4350000000000005</v>
      </c>
      <c r="F5" s="9">
        <f>C5+D5+E5</f>
        <v>89.955000000000013</v>
      </c>
      <c r="G5" s="15">
        <f t="shared" ref="G5:G11" si="1">F5*$D$1</f>
        <v>2760.7189500000004</v>
      </c>
      <c r="H5" s="10">
        <v>2761</v>
      </c>
      <c r="I5" s="10">
        <f t="shared" ref="I5:I11" si="2">-G5+H5</f>
        <v>0.28104999999959546</v>
      </c>
    </row>
    <row r="6" spans="1:10" s="8" customFormat="1">
      <c r="A6" s="9" t="s">
        <v>12</v>
      </c>
      <c r="B6" s="9">
        <v>7</v>
      </c>
      <c r="C6" s="9">
        <v>27.25</v>
      </c>
      <c r="D6" s="9">
        <f t="shared" si="0"/>
        <v>11.34</v>
      </c>
      <c r="E6" s="9">
        <f t="shared" ref="E6:E11" si="3">C6*0.05</f>
        <v>1.3625</v>
      </c>
      <c r="F6" s="20">
        <f t="shared" ref="F6:F11" si="4">C6+D6+E6</f>
        <v>39.952500000000001</v>
      </c>
      <c r="G6" s="15">
        <f t="shared" si="1"/>
        <v>1226.1422250000001</v>
      </c>
      <c r="H6" s="10">
        <v>1196</v>
      </c>
      <c r="I6" s="10">
        <f t="shared" si="2"/>
        <v>-30.142225000000053</v>
      </c>
    </row>
    <row r="7" spans="1:10" s="8" customFormat="1">
      <c r="A7" s="9" t="s">
        <v>13</v>
      </c>
      <c r="B7" s="9">
        <v>4</v>
      </c>
      <c r="C7" s="9">
        <v>22.1</v>
      </c>
      <c r="D7" s="9">
        <f t="shared" si="0"/>
        <v>6.48</v>
      </c>
      <c r="E7" s="9">
        <f t="shared" si="3"/>
        <v>1.1050000000000002</v>
      </c>
      <c r="F7" s="20">
        <f t="shared" si="4"/>
        <v>29.685000000000002</v>
      </c>
      <c r="G7" s="15">
        <f t="shared" si="1"/>
        <v>911.0326500000001</v>
      </c>
      <c r="H7" s="10">
        <v>877</v>
      </c>
      <c r="I7" s="10">
        <f t="shared" si="2"/>
        <v>-34.032650000000103</v>
      </c>
    </row>
    <row r="8" spans="1:10" s="8" customFormat="1">
      <c r="A8" s="9" t="s">
        <v>14</v>
      </c>
      <c r="B8" s="9">
        <v>5</v>
      </c>
      <c r="C8" s="9">
        <v>22.4</v>
      </c>
      <c r="D8" s="9">
        <f t="shared" si="0"/>
        <v>8.1000000000000014</v>
      </c>
      <c r="E8" s="9">
        <f t="shared" si="3"/>
        <v>1.1199999999999999</v>
      </c>
      <c r="F8" s="20">
        <f t="shared" si="4"/>
        <v>31.62</v>
      </c>
      <c r="G8" s="15">
        <f t="shared" si="1"/>
        <v>970.41780000000006</v>
      </c>
      <c r="H8" s="10">
        <v>945</v>
      </c>
      <c r="I8" s="10">
        <f t="shared" si="2"/>
        <v>-25.417800000000057</v>
      </c>
    </row>
    <row r="9" spans="1:10">
      <c r="A9" s="9" t="s">
        <v>9</v>
      </c>
      <c r="B9" s="9">
        <v>2</v>
      </c>
      <c r="C9" s="9">
        <v>5.5</v>
      </c>
      <c r="D9" s="9">
        <f t="shared" si="0"/>
        <v>3.24</v>
      </c>
      <c r="E9" s="9">
        <f t="shared" si="3"/>
        <v>0.27500000000000002</v>
      </c>
      <c r="F9" s="20">
        <f t="shared" si="4"/>
        <v>9.0150000000000006</v>
      </c>
      <c r="G9" s="15">
        <f t="shared" si="1"/>
        <v>276.67035000000004</v>
      </c>
      <c r="H9" s="10">
        <v>270</v>
      </c>
      <c r="I9" s="10">
        <f t="shared" si="2"/>
        <v>-6.6703500000000417</v>
      </c>
    </row>
    <row r="10" spans="1:10">
      <c r="A10" s="9" t="s">
        <v>15</v>
      </c>
      <c r="B10" s="9">
        <v>1</v>
      </c>
      <c r="C10" s="9">
        <v>15</v>
      </c>
      <c r="D10" s="9">
        <f t="shared" si="0"/>
        <v>1.62</v>
      </c>
      <c r="E10" s="9">
        <f t="shared" si="3"/>
        <v>0.75</v>
      </c>
      <c r="F10" s="20">
        <f t="shared" si="4"/>
        <v>17.37</v>
      </c>
      <c r="G10" s="15">
        <f t="shared" si="1"/>
        <v>533.08530000000007</v>
      </c>
      <c r="H10" s="10">
        <f>515+18</f>
        <v>533</v>
      </c>
      <c r="I10" s="10">
        <f t="shared" si="2"/>
        <v>-8.530000000007476E-2</v>
      </c>
    </row>
    <row r="11" spans="1:10">
      <c r="A11" s="9" t="s">
        <v>16</v>
      </c>
      <c r="B11" s="9">
        <v>6</v>
      </c>
      <c r="C11" s="9">
        <v>26.53</v>
      </c>
      <c r="D11" s="9">
        <f t="shared" si="0"/>
        <v>9.7200000000000006</v>
      </c>
      <c r="E11" s="9">
        <f t="shared" si="3"/>
        <v>1.3265000000000002</v>
      </c>
      <c r="F11" s="9">
        <f t="shared" si="4"/>
        <v>37.576500000000003</v>
      </c>
      <c r="G11" s="15">
        <f t="shared" si="1"/>
        <v>1153.2227850000002</v>
      </c>
      <c r="H11" s="12">
        <v>1124</v>
      </c>
      <c r="I11" s="10">
        <f t="shared" si="2"/>
        <v>-29.222785000000158</v>
      </c>
      <c r="J11" s="5" t="s">
        <v>20</v>
      </c>
    </row>
    <row r="12" spans="1:10">
      <c r="A12" s="11"/>
      <c r="B12" s="11"/>
      <c r="C12" s="11"/>
      <c r="D12" s="14">
        <v>68</v>
      </c>
      <c r="E12" s="14"/>
      <c r="F12" s="11"/>
      <c r="G12" s="11"/>
      <c r="H12" s="11"/>
      <c r="I12" s="11"/>
    </row>
    <row r="15" spans="1:10">
      <c r="A15" s="13"/>
    </row>
    <row r="16" spans="1:10">
      <c r="A16" s="13"/>
    </row>
    <row r="17" spans="1:1">
      <c r="A17" s="13"/>
    </row>
  </sheetData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0000"/>
  </sheetPr>
  <dimension ref="A1:J15"/>
  <sheetViews>
    <sheetView workbookViewId="0">
      <selection activeCell="D22" sqref="D22"/>
    </sheetView>
  </sheetViews>
  <sheetFormatPr defaultColWidth="9.140625" defaultRowHeight="15"/>
  <cols>
    <col min="1" max="1" width="12.5703125" style="5" customWidth="1"/>
    <col min="2" max="2" width="15.7109375" style="5" customWidth="1"/>
    <col min="3" max="3" width="12.7109375" style="5" customWidth="1"/>
    <col min="4" max="4" width="12.42578125" style="5" customWidth="1"/>
    <col min="5" max="5" width="9.140625" style="5" customWidth="1"/>
    <col min="6" max="6" width="11" style="5" customWidth="1"/>
    <col min="7" max="7" width="11.7109375" style="5" customWidth="1"/>
    <col min="8" max="9" width="12" style="5" customWidth="1"/>
    <col min="10" max="10" width="16.5703125" style="5" customWidth="1"/>
    <col min="11" max="11" width="63" style="5" customWidth="1"/>
    <col min="12" max="258" width="9.140625" style="5"/>
    <col min="259" max="259" width="22.140625" style="5" customWidth="1"/>
    <col min="260" max="261" width="15.7109375" style="5" customWidth="1"/>
    <col min="262" max="262" width="12.42578125" style="5" customWidth="1"/>
    <col min="263" max="263" width="17" style="5" customWidth="1"/>
    <col min="264" max="264" width="13.28515625" style="5" customWidth="1"/>
    <col min="265" max="265" width="14.7109375" style="5" customWidth="1"/>
    <col min="266" max="266" width="16.5703125" style="5" customWidth="1"/>
    <col min="267" max="267" width="63" style="5" customWidth="1"/>
    <col min="268" max="514" width="9.140625" style="5"/>
    <col min="515" max="515" width="22.140625" style="5" customWidth="1"/>
    <col min="516" max="517" width="15.7109375" style="5" customWidth="1"/>
    <col min="518" max="518" width="12.42578125" style="5" customWidth="1"/>
    <col min="519" max="519" width="17" style="5" customWidth="1"/>
    <col min="520" max="520" width="13.28515625" style="5" customWidth="1"/>
    <col min="521" max="521" width="14.7109375" style="5" customWidth="1"/>
    <col min="522" max="522" width="16.5703125" style="5" customWidth="1"/>
    <col min="523" max="523" width="63" style="5" customWidth="1"/>
    <col min="524" max="770" width="9.140625" style="5"/>
    <col min="771" max="771" width="22.140625" style="5" customWidth="1"/>
    <col min="772" max="773" width="15.7109375" style="5" customWidth="1"/>
    <col min="774" max="774" width="12.42578125" style="5" customWidth="1"/>
    <col min="775" max="775" width="17" style="5" customWidth="1"/>
    <col min="776" max="776" width="13.28515625" style="5" customWidth="1"/>
    <col min="777" max="777" width="14.7109375" style="5" customWidth="1"/>
    <col min="778" max="778" width="16.5703125" style="5" customWidth="1"/>
    <col min="779" max="779" width="63" style="5" customWidth="1"/>
    <col min="780" max="1026" width="9.140625" style="5"/>
    <col min="1027" max="1027" width="22.140625" style="5" customWidth="1"/>
    <col min="1028" max="1029" width="15.7109375" style="5" customWidth="1"/>
    <col min="1030" max="1030" width="12.42578125" style="5" customWidth="1"/>
    <col min="1031" max="1031" width="17" style="5" customWidth="1"/>
    <col min="1032" max="1032" width="13.28515625" style="5" customWidth="1"/>
    <col min="1033" max="1033" width="14.7109375" style="5" customWidth="1"/>
    <col min="1034" max="1034" width="16.5703125" style="5" customWidth="1"/>
    <col min="1035" max="1035" width="63" style="5" customWidth="1"/>
    <col min="1036" max="1282" width="9.140625" style="5"/>
    <col min="1283" max="1283" width="22.140625" style="5" customWidth="1"/>
    <col min="1284" max="1285" width="15.7109375" style="5" customWidth="1"/>
    <col min="1286" max="1286" width="12.42578125" style="5" customWidth="1"/>
    <col min="1287" max="1287" width="17" style="5" customWidth="1"/>
    <col min="1288" max="1288" width="13.28515625" style="5" customWidth="1"/>
    <col min="1289" max="1289" width="14.7109375" style="5" customWidth="1"/>
    <col min="1290" max="1290" width="16.5703125" style="5" customWidth="1"/>
    <col min="1291" max="1291" width="63" style="5" customWidth="1"/>
    <col min="1292" max="1538" width="9.140625" style="5"/>
    <col min="1539" max="1539" width="22.140625" style="5" customWidth="1"/>
    <col min="1540" max="1541" width="15.7109375" style="5" customWidth="1"/>
    <col min="1542" max="1542" width="12.42578125" style="5" customWidth="1"/>
    <col min="1543" max="1543" width="17" style="5" customWidth="1"/>
    <col min="1544" max="1544" width="13.28515625" style="5" customWidth="1"/>
    <col min="1545" max="1545" width="14.7109375" style="5" customWidth="1"/>
    <col min="1546" max="1546" width="16.5703125" style="5" customWidth="1"/>
    <col min="1547" max="1547" width="63" style="5" customWidth="1"/>
    <col min="1548" max="1794" width="9.140625" style="5"/>
    <col min="1795" max="1795" width="22.140625" style="5" customWidth="1"/>
    <col min="1796" max="1797" width="15.7109375" style="5" customWidth="1"/>
    <col min="1798" max="1798" width="12.42578125" style="5" customWidth="1"/>
    <col min="1799" max="1799" width="17" style="5" customWidth="1"/>
    <col min="1800" max="1800" width="13.28515625" style="5" customWidth="1"/>
    <col min="1801" max="1801" width="14.7109375" style="5" customWidth="1"/>
    <col min="1802" max="1802" width="16.5703125" style="5" customWidth="1"/>
    <col min="1803" max="1803" width="63" style="5" customWidth="1"/>
    <col min="1804" max="2050" width="9.140625" style="5"/>
    <col min="2051" max="2051" width="22.140625" style="5" customWidth="1"/>
    <col min="2052" max="2053" width="15.7109375" style="5" customWidth="1"/>
    <col min="2054" max="2054" width="12.42578125" style="5" customWidth="1"/>
    <col min="2055" max="2055" width="17" style="5" customWidth="1"/>
    <col min="2056" max="2056" width="13.28515625" style="5" customWidth="1"/>
    <col min="2057" max="2057" width="14.7109375" style="5" customWidth="1"/>
    <col min="2058" max="2058" width="16.5703125" style="5" customWidth="1"/>
    <col min="2059" max="2059" width="63" style="5" customWidth="1"/>
    <col min="2060" max="2306" width="9.140625" style="5"/>
    <col min="2307" max="2307" width="22.140625" style="5" customWidth="1"/>
    <col min="2308" max="2309" width="15.7109375" style="5" customWidth="1"/>
    <col min="2310" max="2310" width="12.42578125" style="5" customWidth="1"/>
    <col min="2311" max="2311" width="17" style="5" customWidth="1"/>
    <col min="2312" max="2312" width="13.28515625" style="5" customWidth="1"/>
    <col min="2313" max="2313" width="14.7109375" style="5" customWidth="1"/>
    <col min="2314" max="2314" width="16.5703125" style="5" customWidth="1"/>
    <col min="2315" max="2315" width="63" style="5" customWidth="1"/>
    <col min="2316" max="2562" width="9.140625" style="5"/>
    <col min="2563" max="2563" width="22.140625" style="5" customWidth="1"/>
    <col min="2564" max="2565" width="15.7109375" style="5" customWidth="1"/>
    <col min="2566" max="2566" width="12.42578125" style="5" customWidth="1"/>
    <col min="2567" max="2567" width="17" style="5" customWidth="1"/>
    <col min="2568" max="2568" width="13.28515625" style="5" customWidth="1"/>
    <col min="2569" max="2569" width="14.7109375" style="5" customWidth="1"/>
    <col min="2570" max="2570" width="16.5703125" style="5" customWidth="1"/>
    <col min="2571" max="2571" width="63" style="5" customWidth="1"/>
    <col min="2572" max="2818" width="9.140625" style="5"/>
    <col min="2819" max="2819" width="22.140625" style="5" customWidth="1"/>
    <col min="2820" max="2821" width="15.7109375" style="5" customWidth="1"/>
    <col min="2822" max="2822" width="12.42578125" style="5" customWidth="1"/>
    <col min="2823" max="2823" width="17" style="5" customWidth="1"/>
    <col min="2824" max="2824" width="13.28515625" style="5" customWidth="1"/>
    <col min="2825" max="2825" width="14.7109375" style="5" customWidth="1"/>
    <col min="2826" max="2826" width="16.5703125" style="5" customWidth="1"/>
    <col min="2827" max="2827" width="63" style="5" customWidth="1"/>
    <col min="2828" max="3074" width="9.140625" style="5"/>
    <col min="3075" max="3075" width="22.140625" style="5" customWidth="1"/>
    <col min="3076" max="3077" width="15.7109375" style="5" customWidth="1"/>
    <col min="3078" max="3078" width="12.42578125" style="5" customWidth="1"/>
    <col min="3079" max="3079" width="17" style="5" customWidth="1"/>
    <col min="3080" max="3080" width="13.28515625" style="5" customWidth="1"/>
    <col min="3081" max="3081" width="14.7109375" style="5" customWidth="1"/>
    <col min="3082" max="3082" width="16.5703125" style="5" customWidth="1"/>
    <col min="3083" max="3083" width="63" style="5" customWidth="1"/>
    <col min="3084" max="3330" width="9.140625" style="5"/>
    <col min="3331" max="3331" width="22.140625" style="5" customWidth="1"/>
    <col min="3332" max="3333" width="15.7109375" style="5" customWidth="1"/>
    <col min="3334" max="3334" width="12.42578125" style="5" customWidth="1"/>
    <col min="3335" max="3335" width="17" style="5" customWidth="1"/>
    <col min="3336" max="3336" width="13.28515625" style="5" customWidth="1"/>
    <col min="3337" max="3337" width="14.7109375" style="5" customWidth="1"/>
    <col min="3338" max="3338" width="16.5703125" style="5" customWidth="1"/>
    <col min="3339" max="3339" width="63" style="5" customWidth="1"/>
    <col min="3340" max="3586" width="9.140625" style="5"/>
    <col min="3587" max="3587" width="22.140625" style="5" customWidth="1"/>
    <col min="3588" max="3589" width="15.7109375" style="5" customWidth="1"/>
    <col min="3590" max="3590" width="12.42578125" style="5" customWidth="1"/>
    <col min="3591" max="3591" width="17" style="5" customWidth="1"/>
    <col min="3592" max="3592" width="13.28515625" style="5" customWidth="1"/>
    <col min="3593" max="3593" width="14.7109375" style="5" customWidth="1"/>
    <col min="3594" max="3594" width="16.5703125" style="5" customWidth="1"/>
    <col min="3595" max="3595" width="63" style="5" customWidth="1"/>
    <col min="3596" max="3842" width="9.140625" style="5"/>
    <col min="3843" max="3843" width="22.140625" style="5" customWidth="1"/>
    <col min="3844" max="3845" width="15.7109375" style="5" customWidth="1"/>
    <col min="3846" max="3846" width="12.42578125" style="5" customWidth="1"/>
    <col min="3847" max="3847" width="17" style="5" customWidth="1"/>
    <col min="3848" max="3848" width="13.28515625" style="5" customWidth="1"/>
    <col min="3849" max="3849" width="14.7109375" style="5" customWidth="1"/>
    <col min="3850" max="3850" width="16.5703125" style="5" customWidth="1"/>
    <col min="3851" max="3851" width="63" style="5" customWidth="1"/>
    <col min="3852" max="4098" width="9.140625" style="5"/>
    <col min="4099" max="4099" width="22.140625" style="5" customWidth="1"/>
    <col min="4100" max="4101" width="15.7109375" style="5" customWidth="1"/>
    <col min="4102" max="4102" width="12.42578125" style="5" customWidth="1"/>
    <col min="4103" max="4103" width="17" style="5" customWidth="1"/>
    <col min="4104" max="4104" width="13.28515625" style="5" customWidth="1"/>
    <col min="4105" max="4105" width="14.7109375" style="5" customWidth="1"/>
    <col min="4106" max="4106" width="16.5703125" style="5" customWidth="1"/>
    <col min="4107" max="4107" width="63" style="5" customWidth="1"/>
    <col min="4108" max="4354" width="9.140625" style="5"/>
    <col min="4355" max="4355" width="22.140625" style="5" customWidth="1"/>
    <col min="4356" max="4357" width="15.7109375" style="5" customWidth="1"/>
    <col min="4358" max="4358" width="12.42578125" style="5" customWidth="1"/>
    <col min="4359" max="4359" width="17" style="5" customWidth="1"/>
    <col min="4360" max="4360" width="13.28515625" style="5" customWidth="1"/>
    <col min="4361" max="4361" width="14.7109375" style="5" customWidth="1"/>
    <col min="4362" max="4362" width="16.5703125" style="5" customWidth="1"/>
    <col min="4363" max="4363" width="63" style="5" customWidth="1"/>
    <col min="4364" max="4610" width="9.140625" style="5"/>
    <col min="4611" max="4611" width="22.140625" style="5" customWidth="1"/>
    <col min="4612" max="4613" width="15.7109375" style="5" customWidth="1"/>
    <col min="4614" max="4614" width="12.42578125" style="5" customWidth="1"/>
    <col min="4615" max="4615" width="17" style="5" customWidth="1"/>
    <col min="4616" max="4616" width="13.28515625" style="5" customWidth="1"/>
    <col min="4617" max="4617" width="14.7109375" style="5" customWidth="1"/>
    <col min="4618" max="4618" width="16.5703125" style="5" customWidth="1"/>
    <col min="4619" max="4619" width="63" style="5" customWidth="1"/>
    <col min="4620" max="4866" width="9.140625" style="5"/>
    <col min="4867" max="4867" width="22.140625" style="5" customWidth="1"/>
    <col min="4868" max="4869" width="15.7109375" style="5" customWidth="1"/>
    <col min="4870" max="4870" width="12.42578125" style="5" customWidth="1"/>
    <col min="4871" max="4871" width="17" style="5" customWidth="1"/>
    <col min="4872" max="4872" width="13.28515625" style="5" customWidth="1"/>
    <col min="4873" max="4873" width="14.7109375" style="5" customWidth="1"/>
    <col min="4874" max="4874" width="16.5703125" style="5" customWidth="1"/>
    <col min="4875" max="4875" width="63" style="5" customWidth="1"/>
    <col min="4876" max="5122" width="9.140625" style="5"/>
    <col min="5123" max="5123" width="22.140625" style="5" customWidth="1"/>
    <col min="5124" max="5125" width="15.7109375" style="5" customWidth="1"/>
    <col min="5126" max="5126" width="12.42578125" style="5" customWidth="1"/>
    <col min="5127" max="5127" width="17" style="5" customWidth="1"/>
    <col min="5128" max="5128" width="13.28515625" style="5" customWidth="1"/>
    <col min="5129" max="5129" width="14.7109375" style="5" customWidth="1"/>
    <col min="5130" max="5130" width="16.5703125" style="5" customWidth="1"/>
    <col min="5131" max="5131" width="63" style="5" customWidth="1"/>
    <col min="5132" max="5378" width="9.140625" style="5"/>
    <col min="5379" max="5379" width="22.140625" style="5" customWidth="1"/>
    <col min="5380" max="5381" width="15.7109375" style="5" customWidth="1"/>
    <col min="5382" max="5382" width="12.42578125" style="5" customWidth="1"/>
    <col min="5383" max="5383" width="17" style="5" customWidth="1"/>
    <col min="5384" max="5384" width="13.28515625" style="5" customWidth="1"/>
    <col min="5385" max="5385" width="14.7109375" style="5" customWidth="1"/>
    <col min="5386" max="5386" width="16.5703125" style="5" customWidth="1"/>
    <col min="5387" max="5387" width="63" style="5" customWidth="1"/>
    <col min="5388" max="5634" width="9.140625" style="5"/>
    <col min="5635" max="5635" width="22.140625" style="5" customWidth="1"/>
    <col min="5636" max="5637" width="15.7109375" style="5" customWidth="1"/>
    <col min="5638" max="5638" width="12.42578125" style="5" customWidth="1"/>
    <col min="5639" max="5639" width="17" style="5" customWidth="1"/>
    <col min="5640" max="5640" width="13.28515625" style="5" customWidth="1"/>
    <col min="5641" max="5641" width="14.7109375" style="5" customWidth="1"/>
    <col min="5642" max="5642" width="16.5703125" style="5" customWidth="1"/>
    <col min="5643" max="5643" width="63" style="5" customWidth="1"/>
    <col min="5644" max="5890" width="9.140625" style="5"/>
    <col min="5891" max="5891" width="22.140625" style="5" customWidth="1"/>
    <col min="5892" max="5893" width="15.7109375" style="5" customWidth="1"/>
    <col min="5894" max="5894" width="12.42578125" style="5" customWidth="1"/>
    <col min="5895" max="5895" width="17" style="5" customWidth="1"/>
    <col min="5896" max="5896" width="13.28515625" style="5" customWidth="1"/>
    <col min="5897" max="5897" width="14.7109375" style="5" customWidth="1"/>
    <col min="5898" max="5898" width="16.5703125" style="5" customWidth="1"/>
    <col min="5899" max="5899" width="63" style="5" customWidth="1"/>
    <col min="5900" max="6146" width="9.140625" style="5"/>
    <col min="6147" max="6147" width="22.140625" style="5" customWidth="1"/>
    <col min="6148" max="6149" width="15.7109375" style="5" customWidth="1"/>
    <col min="6150" max="6150" width="12.42578125" style="5" customWidth="1"/>
    <col min="6151" max="6151" width="17" style="5" customWidth="1"/>
    <col min="6152" max="6152" width="13.28515625" style="5" customWidth="1"/>
    <col min="6153" max="6153" width="14.7109375" style="5" customWidth="1"/>
    <col min="6154" max="6154" width="16.5703125" style="5" customWidth="1"/>
    <col min="6155" max="6155" width="63" style="5" customWidth="1"/>
    <col min="6156" max="6402" width="9.140625" style="5"/>
    <col min="6403" max="6403" width="22.140625" style="5" customWidth="1"/>
    <col min="6404" max="6405" width="15.7109375" style="5" customWidth="1"/>
    <col min="6406" max="6406" width="12.42578125" style="5" customWidth="1"/>
    <col min="6407" max="6407" width="17" style="5" customWidth="1"/>
    <col min="6408" max="6408" width="13.28515625" style="5" customWidth="1"/>
    <col min="6409" max="6409" width="14.7109375" style="5" customWidth="1"/>
    <col min="6410" max="6410" width="16.5703125" style="5" customWidth="1"/>
    <col min="6411" max="6411" width="63" style="5" customWidth="1"/>
    <col min="6412" max="6658" width="9.140625" style="5"/>
    <col min="6659" max="6659" width="22.140625" style="5" customWidth="1"/>
    <col min="6660" max="6661" width="15.7109375" style="5" customWidth="1"/>
    <col min="6662" max="6662" width="12.42578125" style="5" customWidth="1"/>
    <col min="6663" max="6663" width="17" style="5" customWidth="1"/>
    <col min="6664" max="6664" width="13.28515625" style="5" customWidth="1"/>
    <col min="6665" max="6665" width="14.7109375" style="5" customWidth="1"/>
    <col min="6666" max="6666" width="16.5703125" style="5" customWidth="1"/>
    <col min="6667" max="6667" width="63" style="5" customWidth="1"/>
    <col min="6668" max="6914" width="9.140625" style="5"/>
    <col min="6915" max="6915" width="22.140625" style="5" customWidth="1"/>
    <col min="6916" max="6917" width="15.7109375" style="5" customWidth="1"/>
    <col min="6918" max="6918" width="12.42578125" style="5" customWidth="1"/>
    <col min="6919" max="6919" width="17" style="5" customWidth="1"/>
    <col min="6920" max="6920" width="13.28515625" style="5" customWidth="1"/>
    <col min="6921" max="6921" width="14.7109375" style="5" customWidth="1"/>
    <col min="6922" max="6922" width="16.5703125" style="5" customWidth="1"/>
    <col min="6923" max="6923" width="63" style="5" customWidth="1"/>
    <col min="6924" max="7170" width="9.140625" style="5"/>
    <col min="7171" max="7171" width="22.140625" style="5" customWidth="1"/>
    <col min="7172" max="7173" width="15.7109375" style="5" customWidth="1"/>
    <col min="7174" max="7174" width="12.42578125" style="5" customWidth="1"/>
    <col min="7175" max="7175" width="17" style="5" customWidth="1"/>
    <col min="7176" max="7176" width="13.28515625" style="5" customWidth="1"/>
    <col min="7177" max="7177" width="14.7109375" style="5" customWidth="1"/>
    <col min="7178" max="7178" width="16.5703125" style="5" customWidth="1"/>
    <col min="7179" max="7179" width="63" style="5" customWidth="1"/>
    <col min="7180" max="7426" width="9.140625" style="5"/>
    <col min="7427" max="7427" width="22.140625" style="5" customWidth="1"/>
    <col min="7428" max="7429" width="15.7109375" style="5" customWidth="1"/>
    <col min="7430" max="7430" width="12.42578125" style="5" customWidth="1"/>
    <col min="7431" max="7431" width="17" style="5" customWidth="1"/>
    <col min="7432" max="7432" width="13.28515625" style="5" customWidth="1"/>
    <col min="7433" max="7433" width="14.7109375" style="5" customWidth="1"/>
    <col min="7434" max="7434" width="16.5703125" style="5" customWidth="1"/>
    <col min="7435" max="7435" width="63" style="5" customWidth="1"/>
    <col min="7436" max="7682" width="9.140625" style="5"/>
    <col min="7683" max="7683" width="22.140625" style="5" customWidth="1"/>
    <col min="7684" max="7685" width="15.7109375" style="5" customWidth="1"/>
    <col min="7686" max="7686" width="12.42578125" style="5" customWidth="1"/>
    <col min="7687" max="7687" width="17" style="5" customWidth="1"/>
    <col min="7688" max="7688" width="13.28515625" style="5" customWidth="1"/>
    <col min="7689" max="7689" width="14.7109375" style="5" customWidth="1"/>
    <col min="7690" max="7690" width="16.5703125" style="5" customWidth="1"/>
    <col min="7691" max="7691" width="63" style="5" customWidth="1"/>
    <col min="7692" max="7938" width="9.140625" style="5"/>
    <col min="7939" max="7939" width="22.140625" style="5" customWidth="1"/>
    <col min="7940" max="7941" width="15.7109375" style="5" customWidth="1"/>
    <col min="7942" max="7942" width="12.42578125" style="5" customWidth="1"/>
    <col min="7943" max="7943" width="17" style="5" customWidth="1"/>
    <col min="7944" max="7944" width="13.28515625" style="5" customWidth="1"/>
    <col min="7945" max="7945" width="14.7109375" style="5" customWidth="1"/>
    <col min="7946" max="7946" width="16.5703125" style="5" customWidth="1"/>
    <col min="7947" max="7947" width="63" style="5" customWidth="1"/>
    <col min="7948" max="8194" width="9.140625" style="5"/>
    <col min="8195" max="8195" width="22.140625" style="5" customWidth="1"/>
    <col min="8196" max="8197" width="15.7109375" style="5" customWidth="1"/>
    <col min="8198" max="8198" width="12.42578125" style="5" customWidth="1"/>
    <col min="8199" max="8199" width="17" style="5" customWidth="1"/>
    <col min="8200" max="8200" width="13.28515625" style="5" customWidth="1"/>
    <col min="8201" max="8201" width="14.7109375" style="5" customWidth="1"/>
    <col min="8202" max="8202" width="16.5703125" style="5" customWidth="1"/>
    <col min="8203" max="8203" width="63" style="5" customWidth="1"/>
    <col min="8204" max="8450" width="9.140625" style="5"/>
    <col min="8451" max="8451" width="22.140625" style="5" customWidth="1"/>
    <col min="8452" max="8453" width="15.7109375" style="5" customWidth="1"/>
    <col min="8454" max="8454" width="12.42578125" style="5" customWidth="1"/>
    <col min="8455" max="8455" width="17" style="5" customWidth="1"/>
    <col min="8456" max="8456" width="13.28515625" style="5" customWidth="1"/>
    <col min="8457" max="8457" width="14.7109375" style="5" customWidth="1"/>
    <col min="8458" max="8458" width="16.5703125" style="5" customWidth="1"/>
    <col min="8459" max="8459" width="63" style="5" customWidth="1"/>
    <col min="8460" max="8706" width="9.140625" style="5"/>
    <col min="8707" max="8707" width="22.140625" style="5" customWidth="1"/>
    <col min="8708" max="8709" width="15.7109375" style="5" customWidth="1"/>
    <col min="8710" max="8710" width="12.42578125" style="5" customWidth="1"/>
    <col min="8711" max="8711" width="17" style="5" customWidth="1"/>
    <col min="8712" max="8712" width="13.28515625" style="5" customWidth="1"/>
    <col min="8713" max="8713" width="14.7109375" style="5" customWidth="1"/>
    <col min="8714" max="8714" width="16.5703125" style="5" customWidth="1"/>
    <col min="8715" max="8715" width="63" style="5" customWidth="1"/>
    <col min="8716" max="8962" width="9.140625" style="5"/>
    <col min="8963" max="8963" width="22.140625" style="5" customWidth="1"/>
    <col min="8964" max="8965" width="15.7109375" style="5" customWidth="1"/>
    <col min="8966" max="8966" width="12.42578125" style="5" customWidth="1"/>
    <col min="8967" max="8967" width="17" style="5" customWidth="1"/>
    <col min="8968" max="8968" width="13.28515625" style="5" customWidth="1"/>
    <col min="8969" max="8969" width="14.7109375" style="5" customWidth="1"/>
    <col min="8970" max="8970" width="16.5703125" style="5" customWidth="1"/>
    <col min="8971" max="8971" width="63" style="5" customWidth="1"/>
    <col min="8972" max="9218" width="9.140625" style="5"/>
    <col min="9219" max="9219" width="22.140625" style="5" customWidth="1"/>
    <col min="9220" max="9221" width="15.7109375" style="5" customWidth="1"/>
    <col min="9222" max="9222" width="12.42578125" style="5" customWidth="1"/>
    <col min="9223" max="9223" width="17" style="5" customWidth="1"/>
    <col min="9224" max="9224" width="13.28515625" style="5" customWidth="1"/>
    <col min="9225" max="9225" width="14.7109375" style="5" customWidth="1"/>
    <col min="9226" max="9226" width="16.5703125" style="5" customWidth="1"/>
    <col min="9227" max="9227" width="63" style="5" customWidth="1"/>
    <col min="9228" max="9474" width="9.140625" style="5"/>
    <col min="9475" max="9475" width="22.140625" style="5" customWidth="1"/>
    <col min="9476" max="9477" width="15.7109375" style="5" customWidth="1"/>
    <col min="9478" max="9478" width="12.42578125" style="5" customWidth="1"/>
    <col min="9479" max="9479" width="17" style="5" customWidth="1"/>
    <col min="9480" max="9480" width="13.28515625" style="5" customWidth="1"/>
    <col min="9481" max="9481" width="14.7109375" style="5" customWidth="1"/>
    <col min="9482" max="9482" width="16.5703125" style="5" customWidth="1"/>
    <col min="9483" max="9483" width="63" style="5" customWidth="1"/>
    <col min="9484" max="9730" width="9.140625" style="5"/>
    <col min="9731" max="9731" width="22.140625" style="5" customWidth="1"/>
    <col min="9732" max="9733" width="15.7109375" style="5" customWidth="1"/>
    <col min="9734" max="9734" width="12.42578125" style="5" customWidth="1"/>
    <col min="9735" max="9735" width="17" style="5" customWidth="1"/>
    <col min="9736" max="9736" width="13.28515625" style="5" customWidth="1"/>
    <col min="9737" max="9737" width="14.7109375" style="5" customWidth="1"/>
    <col min="9738" max="9738" width="16.5703125" style="5" customWidth="1"/>
    <col min="9739" max="9739" width="63" style="5" customWidth="1"/>
    <col min="9740" max="9986" width="9.140625" style="5"/>
    <col min="9987" max="9987" width="22.140625" style="5" customWidth="1"/>
    <col min="9988" max="9989" width="15.7109375" style="5" customWidth="1"/>
    <col min="9990" max="9990" width="12.42578125" style="5" customWidth="1"/>
    <col min="9991" max="9991" width="17" style="5" customWidth="1"/>
    <col min="9992" max="9992" width="13.28515625" style="5" customWidth="1"/>
    <col min="9993" max="9993" width="14.7109375" style="5" customWidth="1"/>
    <col min="9994" max="9994" width="16.5703125" style="5" customWidth="1"/>
    <col min="9995" max="9995" width="63" style="5" customWidth="1"/>
    <col min="9996" max="10242" width="9.140625" style="5"/>
    <col min="10243" max="10243" width="22.140625" style="5" customWidth="1"/>
    <col min="10244" max="10245" width="15.7109375" style="5" customWidth="1"/>
    <col min="10246" max="10246" width="12.42578125" style="5" customWidth="1"/>
    <col min="10247" max="10247" width="17" style="5" customWidth="1"/>
    <col min="10248" max="10248" width="13.28515625" style="5" customWidth="1"/>
    <col min="10249" max="10249" width="14.7109375" style="5" customWidth="1"/>
    <col min="10250" max="10250" width="16.5703125" style="5" customWidth="1"/>
    <col min="10251" max="10251" width="63" style="5" customWidth="1"/>
    <col min="10252" max="10498" width="9.140625" style="5"/>
    <col min="10499" max="10499" width="22.140625" style="5" customWidth="1"/>
    <col min="10500" max="10501" width="15.7109375" style="5" customWidth="1"/>
    <col min="10502" max="10502" width="12.42578125" style="5" customWidth="1"/>
    <col min="10503" max="10503" width="17" style="5" customWidth="1"/>
    <col min="10504" max="10504" width="13.28515625" style="5" customWidth="1"/>
    <col min="10505" max="10505" width="14.7109375" style="5" customWidth="1"/>
    <col min="10506" max="10506" width="16.5703125" style="5" customWidth="1"/>
    <col min="10507" max="10507" width="63" style="5" customWidth="1"/>
    <col min="10508" max="10754" width="9.140625" style="5"/>
    <col min="10755" max="10755" width="22.140625" style="5" customWidth="1"/>
    <col min="10756" max="10757" width="15.7109375" style="5" customWidth="1"/>
    <col min="10758" max="10758" width="12.42578125" style="5" customWidth="1"/>
    <col min="10759" max="10759" width="17" style="5" customWidth="1"/>
    <col min="10760" max="10760" width="13.28515625" style="5" customWidth="1"/>
    <col min="10761" max="10761" width="14.7109375" style="5" customWidth="1"/>
    <col min="10762" max="10762" width="16.5703125" style="5" customWidth="1"/>
    <col min="10763" max="10763" width="63" style="5" customWidth="1"/>
    <col min="10764" max="11010" width="9.140625" style="5"/>
    <col min="11011" max="11011" width="22.140625" style="5" customWidth="1"/>
    <col min="11012" max="11013" width="15.7109375" style="5" customWidth="1"/>
    <col min="11014" max="11014" width="12.42578125" style="5" customWidth="1"/>
    <col min="11015" max="11015" width="17" style="5" customWidth="1"/>
    <col min="11016" max="11016" width="13.28515625" style="5" customWidth="1"/>
    <col min="11017" max="11017" width="14.7109375" style="5" customWidth="1"/>
    <col min="11018" max="11018" width="16.5703125" style="5" customWidth="1"/>
    <col min="11019" max="11019" width="63" style="5" customWidth="1"/>
    <col min="11020" max="11266" width="9.140625" style="5"/>
    <col min="11267" max="11267" width="22.140625" style="5" customWidth="1"/>
    <col min="11268" max="11269" width="15.7109375" style="5" customWidth="1"/>
    <col min="11270" max="11270" width="12.42578125" style="5" customWidth="1"/>
    <col min="11271" max="11271" width="17" style="5" customWidth="1"/>
    <col min="11272" max="11272" width="13.28515625" style="5" customWidth="1"/>
    <col min="11273" max="11273" width="14.7109375" style="5" customWidth="1"/>
    <col min="11274" max="11274" width="16.5703125" style="5" customWidth="1"/>
    <col min="11275" max="11275" width="63" style="5" customWidth="1"/>
    <col min="11276" max="11522" width="9.140625" style="5"/>
    <col min="11523" max="11523" width="22.140625" style="5" customWidth="1"/>
    <col min="11524" max="11525" width="15.7109375" style="5" customWidth="1"/>
    <col min="11526" max="11526" width="12.42578125" style="5" customWidth="1"/>
    <col min="11527" max="11527" width="17" style="5" customWidth="1"/>
    <col min="11528" max="11528" width="13.28515625" style="5" customWidth="1"/>
    <col min="11529" max="11529" width="14.7109375" style="5" customWidth="1"/>
    <col min="11530" max="11530" width="16.5703125" style="5" customWidth="1"/>
    <col min="11531" max="11531" width="63" style="5" customWidth="1"/>
    <col min="11532" max="11778" width="9.140625" style="5"/>
    <col min="11779" max="11779" width="22.140625" style="5" customWidth="1"/>
    <col min="11780" max="11781" width="15.7109375" style="5" customWidth="1"/>
    <col min="11782" max="11782" width="12.42578125" style="5" customWidth="1"/>
    <col min="11783" max="11783" width="17" style="5" customWidth="1"/>
    <col min="11784" max="11784" width="13.28515625" style="5" customWidth="1"/>
    <col min="11785" max="11785" width="14.7109375" style="5" customWidth="1"/>
    <col min="11786" max="11786" width="16.5703125" style="5" customWidth="1"/>
    <col min="11787" max="11787" width="63" style="5" customWidth="1"/>
    <col min="11788" max="12034" width="9.140625" style="5"/>
    <col min="12035" max="12035" width="22.140625" style="5" customWidth="1"/>
    <col min="12036" max="12037" width="15.7109375" style="5" customWidth="1"/>
    <col min="12038" max="12038" width="12.42578125" style="5" customWidth="1"/>
    <col min="12039" max="12039" width="17" style="5" customWidth="1"/>
    <col min="12040" max="12040" width="13.28515625" style="5" customWidth="1"/>
    <col min="12041" max="12041" width="14.7109375" style="5" customWidth="1"/>
    <col min="12042" max="12042" width="16.5703125" style="5" customWidth="1"/>
    <col min="12043" max="12043" width="63" style="5" customWidth="1"/>
    <col min="12044" max="12290" width="9.140625" style="5"/>
    <col min="12291" max="12291" width="22.140625" style="5" customWidth="1"/>
    <col min="12292" max="12293" width="15.7109375" style="5" customWidth="1"/>
    <col min="12294" max="12294" width="12.42578125" style="5" customWidth="1"/>
    <col min="12295" max="12295" width="17" style="5" customWidth="1"/>
    <col min="12296" max="12296" width="13.28515625" style="5" customWidth="1"/>
    <col min="12297" max="12297" width="14.7109375" style="5" customWidth="1"/>
    <col min="12298" max="12298" width="16.5703125" style="5" customWidth="1"/>
    <col min="12299" max="12299" width="63" style="5" customWidth="1"/>
    <col min="12300" max="12546" width="9.140625" style="5"/>
    <col min="12547" max="12547" width="22.140625" style="5" customWidth="1"/>
    <col min="12548" max="12549" width="15.7109375" style="5" customWidth="1"/>
    <col min="12550" max="12550" width="12.42578125" style="5" customWidth="1"/>
    <col min="12551" max="12551" width="17" style="5" customWidth="1"/>
    <col min="12552" max="12552" width="13.28515625" style="5" customWidth="1"/>
    <col min="12553" max="12553" width="14.7109375" style="5" customWidth="1"/>
    <col min="12554" max="12554" width="16.5703125" style="5" customWidth="1"/>
    <col min="12555" max="12555" width="63" style="5" customWidth="1"/>
    <col min="12556" max="12802" width="9.140625" style="5"/>
    <col min="12803" max="12803" width="22.140625" style="5" customWidth="1"/>
    <col min="12804" max="12805" width="15.7109375" style="5" customWidth="1"/>
    <col min="12806" max="12806" width="12.42578125" style="5" customWidth="1"/>
    <col min="12807" max="12807" width="17" style="5" customWidth="1"/>
    <col min="12808" max="12808" width="13.28515625" style="5" customWidth="1"/>
    <col min="12809" max="12809" width="14.7109375" style="5" customWidth="1"/>
    <col min="12810" max="12810" width="16.5703125" style="5" customWidth="1"/>
    <col min="12811" max="12811" width="63" style="5" customWidth="1"/>
    <col min="12812" max="13058" width="9.140625" style="5"/>
    <col min="13059" max="13059" width="22.140625" style="5" customWidth="1"/>
    <col min="13060" max="13061" width="15.7109375" style="5" customWidth="1"/>
    <col min="13062" max="13062" width="12.42578125" style="5" customWidth="1"/>
    <col min="13063" max="13063" width="17" style="5" customWidth="1"/>
    <col min="13064" max="13064" width="13.28515625" style="5" customWidth="1"/>
    <col min="13065" max="13065" width="14.7109375" style="5" customWidth="1"/>
    <col min="13066" max="13066" width="16.5703125" style="5" customWidth="1"/>
    <col min="13067" max="13067" width="63" style="5" customWidth="1"/>
    <col min="13068" max="13314" width="9.140625" style="5"/>
    <col min="13315" max="13315" width="22.140625" style="5" customWidth="1"/>
    <col min="13316" max="13317" width="15.7109375" style="5" customWidth="1"/>
    <col min="13318" max="13318" width="12.42578125" style="5" customWidth="1"/>
    <col min="13319" max="13319" width="17" style="5" customWidth="1"/>
    <col min="13320" max="13320" width="13.28515625" style="5" customWidth="1"/>
    <col min="13321" max="13321" width="14.7109375" style="5" customWidth="1"/>
    <col min="13322" max="13322" width="16.5703125" style="5" customWidth="1"/>
    <col min="13323" max="13323" width="63" style="5" customWidth="1"/>
    <col min="13324" max="13570" width="9.140625" style="5"/>
    <col min="13571" max="13571" width="22.140625" style="5" customWidth="1"/>
    <col min="13572" max="13573" width="15.7109375" style="5" customWidth="1"/>
    <col min="13574" max="13574" width="12.42578125" style="5" customWidth="1"/>
    <col min="13575" max="13575" width="17" style="5" customWidth="1"/>
    <col min="13576" max="13576" width="13.28515625" style="5" customWidth="1"/>
    <col min="13577" max="13577" width="14.7109375" style="5" customWidth="1"/>
    <col min="13578" max="13578" width="16.5703125" style="5" customWidth="1"/>
    <col min="13579" max="13579" width="63" style="5" customWidth="1"/>
    <col min="13580" max="13826" width="9.140625" style="5"/>
    <col min="13827" max="13827" width="22.140625" style="5" customWidth="1"/>
    <col min="13828" max="13829" width="15.7109375" style="5" customWidth="1"/>
    <col min="13830" max="13830" width="12.42578125" style="5" customWidth="1"/>
    <col min="13831" max="13831" width="17" style="5" customWidth="1"/>
    <col min="13832" max="13832" width="13.28515625" style="5" customWidth="1"/>
    <col min="13833" max="13833" width="14.7109375" style="5" customWidth="1"/>
    <col min="13834" max="13834" width="16.5703125" style="5" customWidth="1"/>
    <col min="13835" max="13835" width="63" style="5" customWidth="1"/>
    <col min="13836" max="14082" width="9.140625" style="5"/>
    <col min="14083" max="14083" width="22.140625" style="5" customWidth="1"/>
    <col min="14084" max="14085" width="15.7109375" style="5" customWidth="1"/>
    <col min="14086" max="14086" width="12.42578125" style="5" customWidth="1"/>
    <col min="14087" max="14087" width="17" style="5" customWidth="1"/>
    <col min="14088" max="14088" width="13.28515625" style="5" customWidth="1"/>
    <col min="14089" max="14089" width="14.7109375" style="5" customWidth="1"/>
    <col min="14090" max="14090" width="16.5703125" style="5" customWidth="1"/>
    <col min="14091" max="14091" width="63" style="5" customWidth="1"/>
    <col min="14092" max="14338" width="9.140625" style="5"/>
    <col min="14339" max="14339" width="22.140625" style="5" customWidth="1"/>
    <col min="14340" max="14341" width="15.7109375" style="5" customWidth="1"/>
    <col min="14342" max="14342" width="12.42578125" style="5" customWidth="1"/>
    <col min="14343" max="14343" width="17" style="5" customWidth="1"/>
    <col min="14344" max="14344" width="13.28515625" style="5" customWidth="1"/>
    <col min="14345" max="14345" width="14.7109375" style="5" customWidth="1"/>
    <col min="14346" max="14346" width="16.5703125" style="5" customWidth="1"/>
    <col min="14347" max="14347" width="63" style="5" customWidth="1"/>
    <col min="14348" max="14594" width="9.140625" style="5"/>
    <col min="14595" max="14595" width="22.140625" style="5" customWidth="1"/>
    <col min="14596" max="14597" width="15.7109375" style="5" customWidth="1"/>
    <col min="14598" max="14598" width="12.42578125" style="5" customWidth="1"/>
    <col min="14599" max="14599" width="17" style="5" customWidth="1"/>
    <col min="14600" max="14600" width="13.28515625" style="5" customWidth="1"/>
    <col min="14601" max="14601" width="14.7109375" style="5" customWidth="1"/>
    <col min="14602" max="14602" width="16.5703125" style="5" customWidth="1"/>
    <col min="14603" max="14603" width="63" style="5" customWidth="1"/>
    <col min="14604" max="14850" width="9.140625" style="5"/>
    <col min="14851" max="14851" width="22.140625" style="5" customWidth="1"/>
    <col min="14852" max="14853" width="15.7109375" style="5" customWidth="1"/>
    <col min="14854" max="14854" width="12.42578125" style="5" customWidth="1"/>
    <col min="14855" max="14855" width="17" style="5" customWidth="1"/>
    <col min="14856" max="14856" width="13.28515625" style="5" customWidth="1"/>
    <col min="14857" max="14857" width="14.7109375" style="5" customWidth="1"/>
    <col min="14858" max="14858" width="16.5703125" style="5" customWidth="1"/>
    <col min="14859" max="14859" width="63" style="5" customWidth="1"/>
    <col min="14860" max="15106" width="9.140625" style="5"/>
    <col min="15107" max="15107" width="22.140625" style="5" customWidth="1"/>
    <col min="15108" max="15109" width="15.7109375" style="5" customWidth="1"/>
    <col min="15110" max="15110" width="12.42578125" style="5" customWidth="1"/>
    <col min="15111" max="15111" width="17" style="5" customWidth="1"/>
    <col min="15112" max="15112" width="13.28515625" style="5" customWidth="1"/>
    <col min="15113" max="15113" width="14.7109375" style="5" customWidth="1"/>
    <col min="15114" max="15114" width="16.5703125" style="5" customWidth="1"/>
    <col min="15115" max="15115" width="63" style="5" customWidth="1"/>
    <col min="15116" max="15362" width="9.140625" style="5"/>
    <col min="15363" max="15363" width="22.140625" style="5" customWidth="1"/>
    <col min="15364" max="15365" width="15.7109375" style="5" customWidth="1"/>
    <col min="15366" max="15366" width="12.42578125" style="5" customWidth="1"/>
    <col min="15367" max="15367" width="17" style="5" customWidth="1"/>
    <col min="15368" max="15368" width="13.28515625" style="5" customWidth="1"/>
    <col min="15369" max="15369" width="14.7109375" style="5" customWidth="1"/>
    <col min="15370" max="15370" width="16.5703125" style="5" customWidth="1"/>
    <col min="15371" max="15371" width="63" style="5" customWidth="1"/>
    <col min="15372" max="15618" width="9.140625" style="5"/>
    <col min="15619" max="15619" width="22.140625" style="5" customWidth="1"/>
    <col min="15620" max="15621" width="15.7109375" style="5" customWidth="1"/>
    <col min="15622" max="15622" width="12.42578125" style="5" customWidth="1"/>
    <col min="15623" max="15623" width="17" style="5" customWidth="1"/>
    <col min="15624" max="15624" width="13.28515625" style="5" customWidth="1"/>
    <col min="15625" max="15625" width="14.7109375" style="5" customWidth="1"/>
    <col min="15626" max="15626" width="16.5703125" style="5" customWidth="1"/>
    <col min="15627" max="15627" width="63" style="5" customWidth="1"/>
    <col min="15628" max="15874" width="9.140625" style="5"/>
    <col min="15875" max="15875" width="22.140625" style="5" customWidth="1"/>
    <col min="15876" max="15877" width="15.7109375" style="5" customWidth="1"/>
    <col min="15878" max="15878" width="12.42578125" style="5" customWidth="1"/>
    <col min="15879" max="15879" width="17" style="5" customWidth="1"/>
    <col min="15880" max="15880" width="13.28515625" style="5" customWidth="1"/>
    <col min="15881" max="15881" width="14.7109375" style="5" customWidth="1"/>
    <col min="15882" max="15882" width="16.5703125" style="5" customWidth="1"/>
    <col min="15883" max="15883" width="63" style="5" customWidth="1"/>
    <col min="15884" max="16130" width="9.140625" style="5"/>
    <col min="16131" max="16131" width="22.140625" style="5" customWidth="1"/>
    <col min="16132" max="16133" width="15.7109375" style="5" customWidth="1"/>
    <col min="16134" max="16134" width="12.42578125" style="5" customWidth="1"/>
    <col min="16135" max="16135" width="17" style="5" customWidth="1"/>
    <col min="16136" max="16136" width="13.28515625" style="5" customWidth="1"/>
    <col min="16137" max="16137" width="14.7109375" style="5" customWidth="1"/>
    <col min="16138" max="16138" width="16.5703125" style="5" customWidth="1"/>
    <col min="16139" max="16139" width="63" style="5" customWidth="1"/>
    <col min="16140" max="16384" width="9.140625" style="5"/>
  </cols>
  <sheetData>
    <row r="1" spans="1:10" ht="21">
      <c r="A1" s="1" t="s">
        <v>0</v>
      </c>
      <c r="B1" s="2">
        <v>41363</v>
      </c>
      <c r="C1" s="3" t="s">
        <v>1</v>
      </c>
      <c r="D1" s="4">
        <v>31.46</v>
      </c>
      <c r="E1" s="5" t="s">
        <v>2</v>
      </c>
    </row>
    <row r="3" spans="1:10" s="8" customFormat="1" ht="30" customHeight="1">
      <c r="A3" s="6" t="s">
        <v>3</v>
      </c>
      <c r="B3" s="7" t="s">
        <v>17</v>
      </c>
      <c r="C3" s="7" t="s">
        <v>4</v>
      </c>
      <c r="D3" s="7" t="s">
        <v>5</v>
      </c>
      <c r="E3" s="7" t="s">
        <v>19</v>
      </c>
      <c r="F3" s="6" t="s">
        <v>18</v>
      </c>
      <c r="G3" s="6" t="s">
        <v>6</v>
      </c>
      <c r="H3" s="6" t="s">
        <v>7</v>
      </c>
      <c r="I3" s="6" t="s">
        <v>8</v>
      </c>
    </row>
    <row r="4" spans="1:10" s="8" customFormat="1">
      <c r="A4" s="9" t="s">
        <v>10</v>
      </c>
      <c r="B4" s="9">
        <v>2</v>
      </c>
      <c r="C4" s="9">
        <v>11.05</v>
      </c>
      <c r="D4" s="9">
        <v>3.44</v>
      </c>
      <c r="E4" s="9"/>
      <c r="F4" s="9">
        <f>C4+D4+E4</f>
        <v>14.49</v>
      </c>
      <c r="G4" s="16"/>
      <c r="H4" s="17"/>
      <c r="I4" s="17"/>
    </row>
    <row r="5" spans="1:10" s="8" customFormat="1" ht="75">
      <c r="A5" s="9" t="s">
        <v>21</v>
      </c>
      <c r="B5" s="9">
        <v>6</v>
      </c>
      <c r="C5" s="9">
        <v>26.82</v>
      </c>
      <c r="D5" s="9">
        <v>10.32</v>
      </c>
      <c r="E5" s="9">
        <f>C5*0.05</f>
        <v>1.3410000000000002</v>
      </c>
      <c r="F5" s="9">
        <f>C5+D5+E5</f>
        <v>38.481000000000002</v>
      </c>
      <c r="G5" s="15">
        <f t="shared" ref="G5:G8" si="0">F5*$D$1</f>
        <v>1210.6122600000001</v>
      </c>
      <c r="H5" s="10">
        <v>1211</v>
      </c>
      <c r="I5" s="10">
        <f t="shared" ref="I5:I8" si="1">-G5+H5</f>
        <v>0.38773999999989428</v>
      </c>
      <c r="J5" s="8" t="s">
        <v>25</v>
      </c>
    </row>
    <row r="6" spans="1:10" s="8" customFormat="1" ht="60">
      <c r="A6" s="9" t="s">
        <v>22</v>
      </c>
      <c r="B6" s="9">
        <v>11</v>
      </c>
      <c r="C6" s="9">
        <v>70.73</v>
      </c>
      <c r="D6" s="20">
        <v>37.840000000000003</v>
      </c>
      <c r="E6" s="9">
        <f t="shared" ref="E6:E8" si="2">C6*0.05</f>
        <v>3.5365000000000002</v>
      </c>
      <c r="F6" s="20">
        <f>C6+D6+E6</f>
        <v>112.10650000000001</v>
      </c>
      <c r="G6" s="15">
        <f t="shared" si="0"/>
        <v>3526.8704900000002</v>
      </c>
      <c r="H6" s="10">
        <f>3334+193</f>
        <v>3527</v>
      </c>
      <c r="I6" s="19">
        <f t="shared" si="1"/>
        <v>0.12950999999975465</v>
      </c>
      <c r="J6" s="8" t="s">
        <v>26</v>
      </c>
    </row>
    <row r="7" spans="1:10" s="8" customFormat="1">
      <c r="A7" s="9" t="s">
        <v>45</v>
      </c>
      <c r="B7" s="9">
        <v>5</v>
      </c>
      <c r="C7" s="9">
        <v>31.75</v>
      </c>
      <c r="D7" s="9">
        <v>12.04</v>
      </c>
      <c r="E7" s="9">
        <f t="shared" si="2"/>
        <v>1.5875000000000001</v>
      </c>
      <c r="F7" s="20">
        <f t="shared" ref="F7:F9" si="3">C7+D7+E7</f>
        <v>45.377499999999998</v>
      </c>
      <c r="G7" s="15">
        <f t="shared" si="0"/>
        <v>1427.5761499999999</v>
      </c>
      <c r="H7" s="10">
        <v>1378</v>
      </c>
      <c r="I7" s="10">
        <f t="shared" si="1"/>
        <v>-49.57614999999987</v>
      </c>
    </row>
    <row r="8" spans="1:10" s="8" customFormat="1">
      <c r="A8" s="9" t="s">
        <v>23</v>
      </c>
      <c r="B8" s="9">
        <v>8</v>
      </c>
      <c r="C8" s="9">
        <v>32.65</v>
      </c>
      <c r="D8" s="9">
        <v>13.76</v>
      </c>
      <c r="E8" s="9">
        <f t="shared" si="2"/>
        <v>1.6325000000000001</v>
      </c>
      <c r="F8" s="20">
        <f t="shared" si="3"/>
        <v>48.042499999999997</v>
      </c>
      <c r="G8" s="15">
        <f t="shared" si="0"/>
        <v>1511.41705</v>
      </c>
      <c r="H8" s="10">
        <v>1460</v>
      </c>
      <c r="I8" s="10">
        <f t="shared" si="1"/>
        <v>-51.417050000000017</v>
      </c>
    </row>
    <row r="9" spans="1:10" s="8" customFormat="1">
      <c r="A9" s="9" t="s">
        <v>24</v>
      </c>
      <c r="B9" s="9">
        <v>2</v>
      </c>
      <c r="C9" s="9">
        <v>7.51</v>
      </c>
      <c r="D9" s="9">
        <v>3.44</v>
      </c>
      <c r="E9" s="9">
        <f t="shared" ref="E9" si="4">C9*0.05</f>
        <v>0.3755</v>
      </c>
      <c r="F9" s="20">
        <f t="shared" si="3"/>
        <v>11.3255</v>
      </c>
      <c r="G9" s="15">
        <f t="shared" ref="G9" si="5">F9*$D$1</f>
        <v>356.30023</v>
      </c>
      <c r="H9" s="10">
        <v>344</v>
      </c>
      <c r="I9" s="10">
        <f t="shared" ref="I9" si="6">-G9+H9</f>
        <v>-12.300229999999999</v>
      </c>
    </row>
    <row r="10" spans="1:10">
      <c r="A10" s="11"/>
      <c r="B10" s="11"/>
      <c r="C10" s="11"/>
      <c r="D10" s="14"/>
      <c r="E10" s="14"/>
      <c r="F10" s="11"/>
      <c r="G10" s="11"/>
      <c r="H10" s="11"/>
      <c r="I10" s="11"/>
    </row>
    <row r="13" spans="1:10">
      <c r="A13" s="13"/>
    </row>
    <row r="14" spans="1:10">
      <c r="A14" s="13"/>
    </row>
    <row r="15" spans="1:10">
      <c r="A15" s="13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0000"/>
  </sheetPr>
  <dimension ref="A1:J25"/>
  <sheetViews>
    <sheetView workbookViewId="0">
      <selection activeCell="A13" sqref="A13:XFD13"/>
    </sheetView>
  </sheetViews>
  <sheetFormatPr defaultColWidth="9.140625" defaultRowHeight="15"/>
  <cols>
    <col min="1" max="1" width="20" style="5" customWidth="1"/>
    <col min="2" max="2" width="15.7109375" style="5" customWidth="1"/>
    <col min="3" max="3" width="12.7109375" style="5" customWidth="1"/>
    <col min="4" max="4" width="12.42578125" style="5" customWidth="1"/>
    <col min="5" max="5" width="9.140625" style="5" customWidth="1"/>
    <col min="6" max="6" width="11" style="5" customWidth="1"/>
    <col min="7" max="7" width="11.7109375" style="5" customWidth="1"/>
    <col min="8" max="9" width="12" style="5" customWidth="1"/>
    <col min="10" max="10" width="16.5703125" style="5" customWidth="1"/>
    <col min="11" max="11" width="63" style="5" customWidth="1"/>
    <col min="12" max="258" width="9.140625" style="5"/>
    <col min="259" max="259" width="22.140625" style="5" customWidth="1"/>
    <col min="260" max="261" width="15.7109375" style="5" customWidth="1"/>
    <col min="262" max="262" width="12.42578125" style="5" customWidth="1"/>
    <col min="263" max="263" width="17" style="5" customWidth="1"/>
    <col min="264" max="264" width="13.28515625" style="5" customWidth="1"/>
    <col min="265" max="265" width="14.7109375" style="5" customWidth="1"/>
    <col min="266" max="266" width="16.5703125" style="5" customWidth="1"/>
    <col min="267" max="267" width="63" style="5" customWidth="1"/>
    <col min="268" max="514" width="9.140625" style="5"/>
    <col min="515" max="515" width="22.140625" style="5" customWidth="1"/>
    <col min="516" max="517" width="15.7109375" style="5" customWidth="1"/>
    <col min="518" max="518" width="12.42578125" style="5" customWidth="1"/>
    <col min="519" max="519" width="17" style="5" customWidth="1"/>
    <col min="520" max="520" width="13.28515625" style="5" customWidth="1"/>
    <col min="521" max="521" width="14.7109375" style="5" customWidth="1"/>
    <col min="522" max="522" width="16.5703125" style="5" customWidth="1"/>
    <col min="523" max="523" width="63" style="5" customWidth="1"/>
    <col min="524" max="770" width="9.140625" style="5"/>
    <col min="771" max="771" width="22.140625" style="5" customWidth="1"/>
    <col min="772" max="773" width="15.7109375" style="5" customWidth="1"/>
    <col min="774" max="774" width="12.42578125" style="5" customWidth="1"/>
    <col min="775" max="775" width="17" style="5" customWidth="1"/>
    <col min="776" max="776" width="13.28515625" style="5" customWidth="1"/>
    <col min="777" max="777" width="14.7109375" style="5" customWidth="1"/>
    <col min="778" max="778" width="16.5703125" style="5" customWidth="1"/>
    <col min="779" max="779" width="63" style="5" customWidth="1"/>
    <col min="780" max="1026" width="9.140625" style="5"/>
    <col min="1027" max="1027" width="22.140625" style="5" customWidth="1"/>
    <col min="1028" max="1029" width="15.7109375" style="5" customWidth="1"/>
    <col min="1030" max="1030" width="12.42578125" style="5" customWidth="1"/>
    <col min="1031" max="1031" width="17" style="5" customWidth="1"/>
    <col min="1032" max="1032" width="13.28515625" style="5" customWidth="1"/>
    <col min="1033" max="1033" width="14.7109375" style="5" customWidth="1"/>
    <col min="1034" max="1034" width="16.5703125" style="5" customWidth="1"/>
    <col min="1035" max="1035" width="63" style="5" customWidth="1"/>
    <col min="1036" max="1282" width="9.140625" style="5"/>
    <col min="1283" max="1283" width="22.140625" style="5" customWidth="1"/>
    <col min="1284" max="1285" width="15.7109375" style="5" customWidth="1"/>
    <col min="1286" max="1286" width="12.42578125" style="5" customWidth="1"/>
    <col min="1287" max="1287" width="17" style="5" customWidth="1"/>
    <col min="1288" max="1288" width="13.28515625" style="5" customWidth="1"/>
    <col min="1289" max="1289" width="14.7109375" style="5" customWidth="1"/>
    <col min="1290" max="1290" width="16.5703125" style="5" customWidth="1"/>
    <col min="1291" max="1291" width="63" style="5" customWidth="1"/>
    <col min="1292" max="1538" width="9.140625" style="5"/>
    <col min="1539" max="1539" width="22.140625" style="5" customWidth="1"/>
    <col min="1540" max="1541" width="15.7109375" style="5" customWidth="1"/>
    <col min="1542" max="1542" width="12.42578125" style="5" customWidth="1"/>
    <col min="1543" max="1543" width="17" style="5" customWidth="1"/>
    <col min="1544" max="1544" width="13.28515625" style="5" customWidth="1"/>
    <col min="1545" max="1545" width="14.7109375" style="5" customWidth="1"/>
    <col min="1546" max="1546" width="16.5703125" style="5" customWidth="1"/>
    <col min="1547" max="1547" width="63" style="5" customWidth="1"/>
    <col min="1548" max="1794" width="9.140625" style="5"/>
    <col min="1795" max="1795" width="22.140625" style="5" customWidth="1"/>
    <col min="1796" max="1797" width="15.7109375" style="5" customWidth="1"/>
    <col min="1798" max="1798" width="12.42578125" style="5" customWidth="1"/>
    <col min="1799" max="1799" width="17" style="5" customWidth="1"/>
    <col min="1800" max="1800" width="13.28515625" style="5" customWidth="1"/>
    <col min="1801" max="1801" width="14.7109375" style="5" customWidth="1"/>
    <col min="1802" max="1802" width="16.5703125" style="5" customWidth="1"/>
    <col min="1803" max="1803" width="63" style="5" customWidth="1"/>
    <col min="1804" max="2050" width="9.140625" style="5"/>
    <col min="2051" max="2051" width="22.140625" style="5" customWidth="1"/>
    <col min="2052" max="2053" width="15.7109375" style="5" customWidth="1"/>
    <col min="2054" max="2054" width="12.42578125" style="5" customWidth="1"/>
    <col min="2055" max="2055" width="17" style="5" customWidth="1"/>
    <col min="2056" max="2056" width="13.28515625" style="5" customWidth="1"/>
    <col min="2057" max="2057" width="14.7109375" style="5" customWidth="1"/>
    <col min="2058" max="2058" width="16.5703125" style="5" customWidth="1"/>
    <col min="2059" max="2059" width="63" style="5" customWidth="1"/>
    <col min="2060" max="2306" width="9.140625" style="5"/>
    <col min="2307" max="2307" width="22.140625" style="5" customWidth="1"/>
    <col min="2308" max="2309" width="15.7109375" style="5" customWidth="1"/>
    <col min="2310" max="2310" width="12.42578125" style="5" customWidth="1"/>
    <col min="2311" max="2311" width="17" style="5" customWidth="1"/>
    <col min="2312" max="2312" width="13.28515625" style="5" customWidth="1"/>
    <col min="2313" max="2313" width="14.7109375" style="5" customWidth="1"/>
    <col min="2314" max="2314" width="16.5703125" style="5" customWidth="1"/>
    <col min="2315" max="2315" width="63" style="5" customWidth="1"/>
    <col min="2316" max="2562" width="9.140625" style="5"/>
    <col min="2563" max="2563" width="22.140625" style="5" customWidth="1"/>
    <col min="2564" max="2565" width="15.7109375" style="5" customWidth="1"/>
    <col min="2566" max="2566" width="12.42578125" style="5" customWidth="1"/>
    <col min="2567" max="2567" width="17" style="5" customWidth="1"/>
    <col min="2568" max="2568" width="13.28515625" style="5" customWidth="1"/>
    <col min="2569" max="2569" width="14.7109375" style="5" customWidth="1"/>
    <col min="2570" max="2570" width="16.5703125" style="5" customWidth="1"/>
    <col min="2571" max="2571" width="63" style="5" customWidth="1"/>
    <col min="2572" max="2818" width="9.140625" style="5"/>
    <col min="2819" max="2819" width="22.140625" style="5" customWidth="1"/>
    <col min="2820" max="2821" width="15.7109375" style="5" customWidth="1"/>
    <col min="2822" max="2822" width="12.42578125" style="5" customWidth="1"/>
    <col min="2823" max="2823" width="17" style="5" customWidth="1"/>
    <col min="2824" max="2824" width="13.28515625" style="5" customWidth="1"/>
    <col min="2825" max="2825" width="14.7109375" style="5" customWidth="1"/>
    <col min="2826" max="2826" width="16.5703125" style="5" customWidth="1"/>
    <col min="2827" max="2827" width="63" style="5" customWidth="1"/>
    <col min="2828" max="3074" width="9.140625" style="5"/>
    <col min="3075" max="3075" width="22.140625" style="5" customWidth="1"/>
    <col min="3076" max="3077" width="15.7109375" style="5" customWidth="1"/>
    <col min="3078" max="3078" width="12.42578125" style="5" customWidth="1"/>
    <col min="3079" max="3079" width="17" style="5" customWidth="1"/>
    <col min="3080" max="3080" width="13.28515625" style="5" customWidth="1"/>
    <col min="3081" max="3081" width="14.7109375" style="5" customWidth="1"/>
    <col min="3082" max="3082" width="16.5703125" style="5" customWidth="1"/>
    <col min="3083" max="3083" width="63" style="5" customWidth="1"/>
    <col min="3084" max="3330" width="9.140625" style="5"/>
    <col min="3331" max="3331" width="22.140625" style="5" customWidth="1"/>
    <col min="3332" max="3333" width="15.7109375" style="5" customWidth="1"/>
    <col min="3334" max="3334" width="12.42578125" style="5" customWidth="1"/>
    <col min="3335" max="3335" width="17" style="5" customWidth="1"/>
    <col min="3336" max="3336" width="13.28515625" style="5" customWidth="1"/>
    <col min="3337" max="3337" width="14.7109375" style="5" customWidth="1"/>
    <col min="3338" max="3338" width="16.5703125" style="5" customWidth="1"/>
    <col min="3339" max="3339" width="63" style="5" customWidth="1"/>
    <col min="3340" max="3586" width="9.140625" style="5"/>
    <col min="3587" max="3587" width="22.140625" style="5" customWidth="1"/>
    <col min="3588" max="3589" width="15.7109375" style="5" customWidth="1"/>
    <col min="3590" max="3590" width="12.42578125" style="5" customWidth="1"/>
    <col min="3591" max="3591" width="17" style="5" customWidth="1"/>
    <col min="3592" max="3592" width="13.28515625" style="5" customWidth="1"/>
    <col min="3593" max="3593" width="14.7109375" style="5" customWidth="1"/>
    <col min="3594" max="3594" width="16.5703125" style="5" customWidth="1"/>
    <col min="3595" max="3595" width="63" style="5" customWidth="1"/>
    <col min="3596" max="3842" width="9.140625" style="5"/>
    <col min="3843" max="3843" width="22.140625" style="5" customWidth="1"/>
    <col min="3844" max="3845" width="15.7109375" style="5" customWidth="1"/>
    <col min="3846" max="3846" width="12.42578125" style="5" customWidth="1"/>
    <col min="3847" max="3847" width="17" style="5" customWidth="1"/>
    <col min="3848" max="3848" width="13.28515625" style="5" customWidth="1"/>
    <col min="3849" max="3849" width="14.7109375" style="5" customWidth="1"/>
    <col min="3850" max="3850" width="16.5703125" style="5" customWidth="1"/>
    <col min="3851" max="3851" width="63" style="5" customWidth="1"/>
    <col min="3852" max="4098" width="9.140625" style="5"/>
    <col min="4099" max="4099" width="22.140625" style="5" customWidth="1"/>
    <col min="4100" max="4101" width="15.7109375" style="5" customWidth="1"/>
    <col min="4102" max="4102" width="12.42578125" style="5" customWidth="1"/>
    <col min="4103" max="4103" width="17" style="5" customWidth="1"/>
    <col min="4104" max="4104" width="13.28515625" style="5" customWidth="1"/>
    <col min="4105" max="4105" width="14.7109375" style="5" customWidth="1"/>
    <col min="4106" max="4106" width="16.5703125" style="5" customWidth="1"/>
    <col min="4107" max="4107" width="63" style="5" customWidth="1"/>
    <col min="4108" max="4354" width="9.140625" style="5"/>
    <col min="4355" max="4355" width="22.140625" style="5" customWidth="1"/>
    <col min="4356" max="4357" width="15.7109375" style="5" customWidth="1"/>
    <col min="4358" max="4358" width="12.42578125" style="5" customWidth="1"/>
    <col min="4359" max="4359" width="17" style="5" customWidth="1"/>
    <col min="4360" max="4360" width="13.28515625" style="5" customWidth="1"/>
    <col min="4361" max="4361" width="14.7109375" style="5" customWidth="1"/>
    <col min="4362" max="4362" width="16.5703125" style="5" customWidth="1"/>
    <col min="4363" max="4363" width="63" style="5" customWidth="1"/>
    <col min="4364" max="4610" width="9.140625" style="5"/>
    <col min="4611" max="4611" width="22.140625" style="5" customWidth="1"/>
    <col min="4612" max="4613" width="15.7109375" style="5" customWidth="1"/>
    <col min="4614" max="4614" width="12.42578125" style="5" customWidth="1"/>
    <col min="4615" max="4615" width="17" style="5" customWidth="1"/>
    <col min="4616" max="4616" width="13.28515625" style="5" customWidth="1"/>
    <col min="4617" max="4617" width="14.7109375" style="5" customWidth="1"/>
    <col min="4618" max="4618" width="16.5703125" style="5" customWidth="1"/>
    <col min="4619" max="4619" width="63" style="5" customWidth="1"/>
    <col min="4620" max="4866" width="9.140625" style="5"/>
    <col min="4867" max="4867" width="22.140625" style="5" customWidth="1"/>
    <col min="4868" max="4869" width="15.7109375" style="5" customWidth="1"/>
    <col min="4870" max="4870" width="12.42578125" style="5" customWidth="1"/>
    <col min="4871" max="4871" width="17" style="5" customWidth="1"/>
    <col min="4872" max="4872" width="13.28515625" style="5" customWidth="1"/>
    <col min="4873" max="4873" width="14.7109375" style="5" customWidth="1"/>
    <col min="4874" max="4874" width="16.5703125" style="5" customWidth="1"/>
    <col min="4875" max="4875" width="63" style="5" customWidth="1"/>
    <col min="4876" max="5122" width="9.140625" style="5"/>
    <col min="5123" max="5123" width="22.140625" style="5" customWidth="1"/>
    <col min="5124" max="5125" width="15.7109375" style="5" customWidth="1"/>
    <col min="5126" max="5126" width="12.42578125" style="5" customWidth="1"/>
    <col min="5127" max="5127" width="17" style="5" customWidth="1"/>
    <col min="5128" max="5128" width="13.28515625" style="5" customWidth="1"/>
    <col min="5129" max="5129" width="14.7109375" style="5" customWidth="1"/>
    <col min="5130" max="5130" width="16.5703125" style="5" customWidth="1"/>
    <col min="5131" max="5131" width="63" style="5" customWidth="1"/>
    <col min="5132" max="5378" width="9.140625" style="5"/>
    <col min="5379" max="5379" width="22.140625" style="5" customWidth="1"/>
    <col min="5380" max="5381" width="15.7109375" style="5" customWidth="1"/>
    <col min="5382" max="5382" width="12.42578125" style="5" customWidth="1"/>
    <col min="5383" max="5383" width="17" style="5" customWidth="1"/>
    <col min="5384" max="5384" width="13.28515625" style="5" customWidth="1"/>
    <col min="5385" max="5385" width="14.7109375" style="5" customWidth="1"/>
    <col min="5386" max="5386" width="16.5703125" style="5" customWidth="1"/>
    <col min="5387" max="5387" width="63" style="5" customWidth="1"/>
    <col min="5388" max="5634" width="9.140625" style="5"/>
    <col min="5635" max="5635" width="22.140625" style="5" customWidth="1"/>
    <col min="5636" max="5637" width="15.7109375" style="5" customWidth="1"/>
    <col min="5638" max="5638" width="12.42578125" style="5" customWidth="1"/>
    <col min="5639" max="5639" width="17" style="5" customWidth="1"/>
    <col min="5640" max="5640" width="13.28515625" style="5" customWidth="1"/>
    <col min="5641" max="5641" width="14.7109375" style="5" customWidth="1"/>
    <col min="5642" max="5642" width="16.5703125" style="5" customWidth="1"/>
    <col min="5643" max="5643" width="63" style="5" customWidth="1"/>
    <col min="5644" max="5890" width="9.140625" style="5"/>
    <col min="5891" max="5891" width="22.140625" style="5" customWidth="1"/>
    <col min="5892" max="5893" width="15.7109375" style="5" customWidth="1"/>
    <col min="5894" max="5894" width="12.42578125" style="5" customWidth="1"/>
    <col min="5895" max="5895" width="17" style="5" customWidth="1"/>
    <col min="5896" max="5896" width="13.28515625" style="5" customWidth="1"/>
    <col min="5897" max="5897" width="14.7109375" style="5" customWidth="1"/>
    <col min="5898" max="5898" width="16.5703125" style="5" customWidth="1"/>
    <col min="5899" max="5899" width="63" style="5" customWidth="1"/>
    <col min="5900" max="6146" width="9.140625" style="5"/>
    <col min="6147" max="6147" width="22.140625" style="5" customWidth="1"/>
    <col min="6148" max="6149" width="15.7109375" style="5" customWidth="1"/>
    <col min="6150" max="6150" width="12.42578125" style="5" customWidth="1"/>
    <col min="6151" max="6151" width="17" style="5" customWidth="1"/>
    <col min="6152" max="6152" width="13.28515625" style="5" customWidth="1"/>
    <col min="6153" max="6153" width="14.7109375" style="5" customWidth="1"/>
    <col min="6154" max="6154" width="16.5703125" style="5" customWidth="1"/>
    <col min="6155" max="6155" width="63" style="5" customWidth="1"/>
    <col min="6156" max="6402" width="9.140625" style="5"/>
    <col min="6403" max="6403" width="22.140625" style="5" customWidth="1"/>
    <col min="6404" max="6405" width="15.7109375" style="5" customWidth="1"/>
    <col min="6406" max="6406" width="12.42578125" style="5" customWidth="1"/>
    <col min="6407" max="6407" width="17" style="5" customWidth="1"/>
    <col min="6408" max="6408" width="13.28515625" style="5" customWidth="1"/>
    <col min="6409" max="6409" width="14.7109375" style="5" customWidth="1"/>
    <col min="6410" max="6410" width="16.5703125" style="5" customWidth="1"/>
    <col min="6411" max="6411" width="63" style="5" customWidth="1"/>
    <col min="6412" max="6658" width="9.140625" style="5"/>
    <col min="6659" max="6659" width="22.140625" style="5" customWidth="1"/>
    <col min="6660" max="6661" width="15.7109375" style="5" customWidth="1"/>
    <col min="6662" max="6662" width="12.42578125" style="5" customWidth="1"/>
    <col min="6663" max="6663" width="17" style="5" customWidth="1"/>
    <col min="6664" max="6664" width="13.28515625" style="5" customWidth="1"/>
    <col min="6665" max="6665" width="14.7109375" style="5" customWidth="1"/>
    <col min="6666" max="6666" width="16.5703125" style="5" customWidth="1"/>
    <col min="6667" max="6667" width="63" style="5" customWidth="1"/>
    <col min="6668" max="6914" width="9.140625" style="5"/>
    <col min="6915" max="6915" width="22.140625" style="5" customWidth="1"/>
    <col min="6916" max="6917" width="15.7109375" style="5" customWidth="1"/>
    <col min="6918" max="6918" width="12.42578125" style="5" customWidth="1"/>
    <col min="6919" max="6919" width="17" style="5" customWidth="1"/>
    <col min="6920" max="6920" width="13.28515625" style="5" customWidth="1"/>
    <col min="6921" max="6921" width="14.7109375" style="5" customWidth="1"/>
    <col min="6922" max="6922" width="16.5703125" style="5" customWidth="1"/>
    <col min="6923" max="6923" width="63" style="5" customWidth="1"/>
    <col min="6924" max="7170" width="9.140625" style="5"/>
    <col min="7171" max="7171" width="22.140625" style="5" customWidth="1"/>
    <col min="7172" max="7173" width="15.7109375" style="5" customWidth="1"/>
    <col min="7174" max="7174" width="12.42578125" style="5" customWidth="1"/>
    <col min="7175" max="7175" width="17" style="5" customWidth="1"/>
    <col min="7176" max="7176" width="13.28515625" style="5" customWidth="1"/>
    <col min="7177" max="7177" width="14.7109375" style="5" customWidth="1"/>
    <col min="7178" max="7178" width="16.5703125" style="5" customWidth="1"/>
    <col min="7179" max="7179" width="63" style="5" customWidth="1"/>
    <col min="7180" max="7426" width="9.140625" style="5"/>
    <col min="7427" max="7427" width="22.140625" style="5" customWidth="1"/>
    <col min="7428" max="7429" width="15.7109375" style="5" customWidth="1"/>
    <col min="7430" max="7430" width="12.42578125" style="5" customWidth="1"/>
    <col min="7431" max="7431" width="17" style="5" customWidth="1"/>
    <col min="7432" max="7432" width="13.28515625" style="5" customWidth="1"/>
    <col min="7433" max="7433" width="14.7109375" style="5" customWidth="1"/>
    <col min="7434" max="7434" width="16.5703125" style="5" customWidth="1"/>
    <col min="7435" max="7435" width="63" style="5" customWidth="1"/>
    <col min="7436" max="7682" width="9.140625" style="5"/>
    <col min="7683" max="7683" width="22.140625" style="5" customWidth="1"/>
    <col min="7684" max="7685" width="15.7109375" style="5" customWidth="1"/>
    <col min="7686" max="7686" width="12.42578125" style="5" customWidth="1"/>
    <col min="7687" max="7687" width="17" style="5" customWidth="1"/>
    <col min="7688" max="7688" width="13.28515625" style="5" customWidth="1"/>
    <col min="7689" max="7689" width="14.7109375" style="5" customWidth="1"/>
    <col min="7690" max="7690" width="16.5703125" style="5" customWidth="1"/>
    <col min="7691" max="7691" width="63" style="5" customWidth="1"/>
    <col min="7692" max="7938" width="9.140625" style="5"/>
    <col min="7939" max="7939" width="22.140625" style="5" customWidth="1"/>
    <col min="7940" max="7941" width="15.7109375" style="5" customWidth="1"/>
    <col min="7942" max="7942" width="12.42578125" style="5" customWidth="1"/>
    <col min="7943" max="7943" width="17" style="5" customWidth="1"/>
    <col min="7944" max="7944" width="13.28515625" style="5" customWidth="1"/>
    <col min="7945" max="7945" width="14.7109375" style="5" customWidth="1"/>
    <col min="7946" max="7946" width="16.5703125" style="5" customWidth="1"/>
    <col min="7947" max="7947" width="63" style="5" customWidth="1"/>
    <col min="7948" max="8194" width="9.140625" style="5"/>
    <col min="8195" max="8195" width="22.140625" style="5" customWidth="1"/>
    <col min="8196" max="8197" width="15.7109375" style="5" customWidth="1"/>
    <col min="8198" max="8198" width="12.42578125" style="5" customWidth="1"/>
    <col min="8199" max="8199" width="17" style="5" customWidth="1"/>
    <col min="8200" max="8200" width="13.28515625" style="5" customWidth="1"/>
    <col min="8201" max="8201" width="14.7109375" style="5" customWidth="1"/>
    <col min="8202" max="8202" width="16.5703125" style="5" customWidth="1"/>
    <col min="8203" max="8203" width="63" style="5" customWidth="1"/>
    <col min="8204" max="8450" width="9.140625" style="5"/>
    <col min="8451" max="8451" width="22.140625" style="5" customWidth="1"/>
    <col min="8452" max="8453" width="15.7109375" style="5" customWidth="1"/>
    <col min="8454" max="8454" width="12.42578125" style="5" customWidth="1"/>
    <col min="8455" max="8455" width="17" style="5" customWidth="1"/>
    <col min="8456" max="8456" width="13.28515625" style="5" customWidth="1"/>
    <col min="8457" max="8457" width="14.7109375" style="5" customWidth="1"/>
    <col min="8458" max="8458" width="16.5703125" style="5" customWidth="1"/>
    <col min="8459" max="8459" width="63" style="5" customWidth="1"/>
    <col min="8460" max="8706" width="9.140625" style="5"/>
    <col min="8707" max="8707" width="22.140625" style="5" customWidth="1"/>
    <col min="8708" max="8709" width="15.7109375" style="5" customWidth="1"/>
    <col min="8710" max="8710" width="12.42578125" style="5" customWidth="1"/>
    <col min="8711" max="8711" width="17" style="5" customWidth="1"/>
    <col min="8712" max="8712" width="13.28515625" style="5" customWidth="1"/>
    <col min="8713" max="8713" width="14.7109375" style="5" customWidth="1"/>
    <col min="8714" max="8714" width="16.5703125" style="5" customWidth="1"/>
    <col min="8715" max="8715" width="63" style="5" customWidth="1"/>
    <col min="8716" max="8962" width="9.140625" style="5"/>
    <col min="8963" max="8963" width="22.140625" style="5" customWidth="1"/>
    <col min="8964" max="8965" width="15.7109375" style="5" customWidth="1"/>
    <col min="8966" max="8966" width="12.42578125" style="5" customWidth="1"/>
    <col min="8967" max="8967" width="17" style="5" customWidth="1"/>
    <col min="8968" max="8968" width="13.28515625" style="5" customWidth="1"/>
    <col min="8969" max="8969" width="14.7109375" style="5" customWidth="1"/>
    <col min="8970" max="8970" width="16.5703125" style="5" customWidth="1"/>
    <col min="8971" max="8971" width="63" style="5" customWidth="1"/>
    <col min="8972" max="9218" width="9.140625" style="5"/>
    <col min="9219" max="9219" width="22.140625" style="5" customWidth="1"/>
    <col min="9220" max="9221" width="15.7109375" style="5" customWidth="1"/>
    <col min="9222" max="9222" width="12.42578125" style="5" customWidth="1"/>
    <col min="9223" max="9223" width="17" style="5" customWidth="1"/>
    <col min="9224" max="9224" width="13.28515625" style="5" customWidth="1"/>
    <col min="9225" max="9225" width="14.7109375" style="5" customWidth="1"/>
    <col min="9226" max="9226" width="16.5703125" style="5" customWidth="1"/>
    <col min="9227" max="9227" width="63" style="5" customWidth="1"/>
    <col min="9228" max="9474" width="9.140625" style="5"/>
    <col min="9475" max="9475" width="22.140625" style="5" customWidth="1"/>
    <col min="9476" max="9477" width="15.7109375" style="5" customWidth="1"/>
    <col min="9478" max="9478" width="12.42578125" style="5" customWidth="1"/>
    <col min="9479" max="9479" width="17" style="5" customWidth="1"/>
    <col min="9480" max="9480" width="13.28515625" style="5" customWidth="1"/>
    <col min="9481" max="9481" width="14.7109375" style="5" customWidth="1"/>
    <col min="9482" max="9482" width="16.5703125" style="5" customWidth="1"/>
    <col min="9483" max="9483" width="63" style="5" customWidth="1"/>
    <col min="9484" max="9730" width="9.140625" style="5"/>
    <col min="9731" max="9731" width="22.140625" style="5" customWidth="1"/>
    <col min="9732" max="9733" width="15.7109375" style="5" customWidth="1"/>
    <col min="9734" max="9734" width="12.42578125" style="5" customWidth="1"/>
    <col min="9735" max="9735" width="17" style="5" customWidth="1"/>
    <col min="9736" max="9736" width="13.28515625" style="5" customWidth="1"/>
    <col min="9737" max="9737" width="14.7109375" style="5" customWidth="1"/>
    <col min="9738" max="9738" width="16.5703125" style="5" customWidth="1"/>
    <col min="9739" max="9739" width="63" style="5" customWidth="1"/>
    <col min="9740" max="9986" width="9.140625" style="5"/>
    <col min="9987" max="9987" width="22.140625" style="5" customWidth="1"/>
    <col min="9988" max="9989" width="15.7109375" style="5" customWidth="1"/>
    <col min="9990" max="9990" width="12.42578125" style="5" customWidth="1"/>
    <col min="9991" max="9991" width="17" style="5" customWidth="1"/>
    <col min="9992" max="9992" width="13.28515625" style="5" customWidth="1"/>
    <col min="9993" max="9993" width="14.7109375" style="5" customWidth="1"/>
    <col min="9994" max="9994" width="16.5703125" style="5" customWidth="1"/>
    <col min="9995" max="9995" width="63" style="5" customWidth="1"/>
    <col min="9996" max="10242" width="9.140625" style="5"/>
    <col min="10243" max="10243" width="22.140625" style="5" customWidth="1"/>
    <col min="10244" max="10245" width="15.7109375" style="5" customWidth="1"/>
    <col min="10246" max="10246" width="12.42578125" style="5" customWidth="1"/>
    <col min="10247" max="10247" width="17" style="5" customWidth="1"/>
    <col min="10248" max="10248" width="13.28515625" style="5" customWidth="1"/>
    <col min="10249" max="10249" width="14.7109375" style="5" customWidth="1"/>
    <col min="10250" max="10250" width="16.5703125" style="5" customWidth="1"/>
    <col min="10251" max="10251" width="63" style="5" customWidth="1"/>
    <col min="10252" max="10498" width="9.140625" style="5"/>
    <col min="10499" max="10499" width="22.140625" style="5" customWidth="1"/>
    <col min="10500" max="10501" width="15.7109375" style="5" customWidth="1"/>
    <col min="10502" max="10502" width="12.42578125" style="5" customWidth="1"/>
    <col min="10503" max="10503" width="17" style="5" customWidth="1"/>
    <col min="10504" max="10504" width="13.28515625" style="5" customWidth="1"/>
    <col min="10505" max="10505" width="14.7109375" style="5" customWidth="1"/>
    <col min="10506" max="10506" width="16.5703125" style="5" customWidth="1"/>
    <col min="10507" max="10507" width="63" style="5" customWidth="1"/>
    <col min="10508" max="10754" width="9.140625" style="5"/>
    <col min="10755" max="10755" width="22.140625" style="5" customWidth="1"/>
    <col min="10756" max="10757" width="15.7109375" style="5" customWidth="1"/>
    <col min="10758" max="10758" width="12.42578125" style="5" customWidth="1"/>
    <col min="10759" max="10759" width="17" style="5" customWidth="1"/>
    <col min="10760" max="10760" width="13.28515625" style="5" customWidth="1"/>
    <col min="10761" max="10761" width="14.7109375" style="5" customWidth="1"/>
    <col min="10762" max="10762" width="16.5703125" style="5" customWidth="1"/>
    <col min="10763" max="10763" width="63" style="5" customWidth="1"/>
    <col min="10764" max="11010" width="9.140625" style="5"/>
    <col min="11011" max="11011" width="22.140625" style="5" customWidth="1"/>
    <col min="11012" max="11013" width="15.7109375" style="5" customWidth="1"/>
    <col min="11014" max="11014" width="12.42578125" style="5" customWidth="1"/>
    <col min="11015" max="11015" width="17" style="5" customWidth="1"/>
    <col min="11016" max="11016" width="13.28515625" style="5" customWidth="1"/>
    <col min="11017" max="11017" width="14.7109375" style="5" customWidth="1"/>
    <col min="11018" max="11018" width="16.5703125" style="5" customWidth="1"/>
    <col min="11019" max="11019" width="63" style="5" customWidth="1"/>
    <col min="11020" max="11266" width="9.140625" style="5"/>
    <col min="11267" max="11267" width="22.140625" style="5" customWidth="1"/>
    <col min="11268" max="11269" width="15.7109375" style="5" customWidth="1"/>
    <col min="11270" max="11270" width="12.42578125" style="5" customWidth="1"/>
    <col min="11271" max="11271" width="17" style="5" customWidth="1"/>
    <col min="11272" max="11272" width="13.28515625" style="5" customWidth="1"/>
    <col min="11273" max="11273" width="14.7109375" style="5" customWidth="1"/>
    <col min="11274" max="11274" width="16.5703125" style="5" customWidth="1"/>
    <col min="11275" max="11275" width="63" style="5" customWidth="1"/>
    <col min="11276" max="11522" width="9.140625" style="5"/>
    <col min="11523" max="11523" width="22.140625" style="5" customWidth="1"/>
    <col min="11524" max="11525" width="15.7109375" style="5" customWidth="1"/>
    <col min="11526" max="11526" width="12.42578125" style="5" customWidth="1"/>
    <col min="11527" max="11527" width="17" style="5" customWidth="1"/>
    <col min="11528" max="11528" width="13.28515625" style="5" customWidth="1"/>
    <col min="11529" max="11529" width="14.7109375" style="5" customWidth="1"/>
    <col min="11530" max="11530" width="16.5703125" style="5" customWidth="1"/>
    <col min="11531" max="11531" width="63" style="5" customWidth="1"/>
    <col min="11532" max="11778" width="9.140625" style="5"/>
    <col min="11779" max="11779" width="22.140625" style="5" customWidth="1"/>
    <col min="11780" max="11781" width="15.7109375" style="5" customWidth="1"/>
    <col min="11782" max="11782" width="12.42578125" style="5" customWidth="1"/>
    <col min="11783" max="11783" width="17" style="5" customWidth="1"/>
    <col min="11784" max="11784" width="13.28515625" style="5" customWidth="1"/>
    <col min="11785" max="11785" width="14.7109375" style="5" customWidth="1"/>
    <col min="11786" max="11786" width="16.5703125" style="5" customWidth="1"/>
    <col min="11787" max="11787" width="63" style="5" customWidth="1"/>
    <col min="11788" max="12034" width="9.140625" style="5"/>
    <col min="12035" max="12035" width="22.140625" style="5" customWidth="1"/>
    <col min="12036" max="12037" width="15.7109375" style="5" customWidth="1"/>
    <col min="12038" max="12038" width="12.42578125" style="5" customWidth="1"/>
    <col min="12039" max="12039" width="17" style="5" customWidth="1"/>
    <col min="12040" max="12040" width="13.28515625" style="5" customWidth="1"/>
    <col min="12041" max="12041" width="14.7109375" style="5" customWidth="1"/>
    <col min="12042" max="12042" width="16.5703125" style="5" customWidth="1"/>
    <col min="12043" max="12043" width="63" style="5" customWidth="1"/>
    <col min="12044" max="12290" width="9.140625" style="5"/>
    <col min="12291" max="12291" width="22.140625" style="5" customWidth="1"/>
    <col min="12292" max="12293" width="15.7109375" style="5" customWidth="1"/>
    <col min="12294" max="12294" width="12.42578125" style="5" customWidth="1"/>
    <col min="12295" max="12295" width="17" style="5" customWidth="1"/>
    <col min="12296" max="12296" width="13.28515625" style="5" customWidth="1"/>
    <col min="12297" max="12297" width="14.7109375" style="5" customWidth="1"/>
    <col min="12298" max="12298" width="16.5703125" style="5" customWidth="1"/>
    <col min="12299" max="12299" width="63" style="5" customWidth="1"/>
    <col min="12300" max="12546" width="9.140625" style="5"/>
    <col min="12547" max="12547" width="22.140625" style="5" customWidth="1"/>
    <col min="12548" max="12549" width="15.7109375" style="5" customWidth="1"/>
    <col min="12550" max="12550" width="12.42578125" style="5" customWidth="1"/>
    <col min="12551" max="12551" width="17" style="5" customWidth="1"/>
    <col min="12552" max="12552" width="13.28515625" style="5" customWidth="1"/>
    <col min="12553" max="12553" width="14.7109375" style="5" customWidth="1"/>
    <col min="12554" max="12554" width="16.5703125" style="5" customWidth="1"/>
    <col min="12555" max="12555" width="63" style="5" customWidth="1"/>
    <col min="12556" max="12802" width="9.140625" style="5"/>
    <col min="12803" max="12803" width="22.140625" style="5" customWidth="1"/>
    <col min="12804" max="12805" width="15.7109375" style="5" customWidth="1"/>
    <col min="12806" max="12806" width="12.42578125" style="5" customWidth="1"/>
    <col min="12807" max="12807" width="17" style="5" customWidth="1"/>
    <col min="12808" max="12808" width="13.28515625" style="5" customWidth="1"/>
    <col min="12809" max="12809" width="14.7109375" style="5" customWidth="1"/>
    <col min="12810" max="12810" width="16.5703125" style="5" customWidth="1"/>
    <col min="12811" max="12811" width="63" style="5" customWidth="1"/>
    <col min="12812" max="13058" width="9.140625" style="5"/>
    <col min="13059" max="13059" width="22.140625" style="5" customWidth="1"/>
    <col min="13060" max="13061" width="15.7109375" style="5" customWidth="1"/>
    <col min="13062" max="13062" width="12.42578125" style="5" customWidth="1"/>
    <col min="13063" max="13063" width="17" style="5" customWidth="1"/>
    <col min="13064" max="13064" width="13.28515625" style="5" customWidth="1"/>
    <col min="13065" max="13065" width="14.7109375" style="5" customWidth="1"/>
    <col min="13066" max="13066" width="16.5703125" style="5" customWidth="1"/>
    <col min="13067" max="13067" width="63" style="5" customWidth="1"/>
    <col min="13068" max="13314" width="9.140625" style="5"/>
    <col min="13315" max="13315" width="22.140625" style="5" customWidth="1"/>
    <col min="13316" max="13317" width="15.7109375" style="5" customWidth="1"/>
    <col min="13318" max="13318" width="12.42578125" style="5" customWidth="1"/>
    <col min="13319" max="13319" width="17" style="5" customWidth="1"/>
    <col min="13320" max="13320" width="13.28515625" style="5" customWidth="1"/>
    <col min="13321" max="13321" width="14.7109375" style="5" customWidth="1"/>
    <col min="13322" max="13322" width="16.5703125" style="5" customWidth="1"/>
    <col min="13323" max="13323" width="63" style="5" customWidth="1"/>
    <col min="13324" max="13570" width="9.140625" style="5"/>
    <col min="13571" max="13571" width="22.140625" style="5" customWidth="1"/>
    <col min="13572" max="13573" width="15.7109375" style="5" customWidth="1"/>
    <col min="13574" max="13574" width="12.42578125" style="5" customWidth="1"/>
    <col min="13575" max="13575" width="17" style="5" customWidth="1"/>
    <col min="13576" max="13576" width="13.28515625" style="5" customWidth="1"/>
    <col min="13577" max="13577" width="14.7109375" style="5" customWidth="1"/>
    <col min="13578" max="13578" width="16.5703125" style="5" customWidth="1"/>
    <col min="13579" max="13579" width="63" style="5" customWidth="1"/>
    <col min="13580" max="13826" width="9.140625" style="5"/>
    <col min="13827" max="13827" width="22.140625" style="5" customWidth="1"/>
    <col min="13828" max="13829" width="15.7109375" style="5" customWidth="1"/>
    <col min="13830" max="13830" width="12.42578125" style="5" customWidth="1"/>
    <col min="13831" max="13831" width="17" style="5" customWidth="1"/>
    <col min="13832" max="13832" width="13.28515625" style="5" customWidth="1"/>
    <col min="13833" max="13833" width="14.7109375" style="5" customWidth="1"/>
    <col min="13834" max="13834" width="16.5703125" style="5" customWidth="1"/>
    <col min="13835" max="13835" width="63" style="5" customWidth="1"/>
    <col min="13836" max="14082" width="9.140625" style="5"/>
    <col min="14083" max="14083" width="22.140625" style="5" customWidth="1"/>
    <col min="14084" max="14085" width="15.7109375" style="5" customWidth="1"/>
    <col min="14086" max="14086" width="12.42578125" style="5" customWidth="1"/>
    <col min="14087" max="14087" width="17" style="5" customWidth="1"/>
    <col min="14088" max="14088" width="13.28515625" style="5" customWidth="1"/>
    <col min="14089" max="14089" width="14.7109375" style="5" customWidth="1"/>
    <col min="14090" max="14090" width="16.5703125" style="5" customWidth="1"/>
    <col min="14091" max="14091" width="63" style="5" customWidth="1"/>
    <col min="14092" max="14338" width="9.140625" style="5"/>
    <col min="14339" max="14339" width="22.140625" style="5" customWidth="1"/>
    <col min="14340" max="14341" width="15.7109375" style="5" customWidth="1"/>
    <col min="14342" max="14342" width="12.42578125" style="5" customWidth="1"/>
    <col min="14343" max="14343" width="17" style="5" customWidth="1"/>
    <col min="14344" max="14344" width="13.28515625" style="5" customWidth="1"/>
    <col min="14345" max="14345" width="14.7109375" style="5" customWidth="1"/>
    <col min="14346" max="14346" width="16.5703125" style="5" customWidth="1"/>
    <col min="14347" max="14347" width="63" style="5" customWidth="1"/>
    <col min="14348" max="14594" width="9.140625" style="5"/>
    <col min="14595" max="14595" width="22.140625" style="5" customWidth="1"/>
    <col min="14596" max="14597" width="15.7109375" style="5" customWidth="1"/>
    <col min="14598" max="14598" width="12.42578125" style="5" customWidth="1"/>
    <col min="14599" max="14599" width="17" style="5" customWidth="1"/>
    <col min="14600" max="14600" width="13.28515625" style="5" customWidth="1"/>
    <col min="14601" max="14601" width="14.7109375" style="5" customWidth="1"/>
    <col min="14602" max="14602" width="16.5703125" style="5" customWidth="1"/>
    <col min="14603" max="14603" width="63" style="5" customWidth="1"/>
    <col min="14604" max="14850" width="9.140625" style="5"/>
    <col min="14851" max="14851" width="22.140625" style="5" customWidth="1"/>
    <col min="14852" max="14853" width="15.7109375" style="5" customWidth="1"/>
    <col min="14854" max="14854" width="12.42578125" style="5" customWidth="1"/>
    <col min="14855" max="14855" width="17" style="5" customWidth="1"/>
    <col min="14856" max="14856" width="13.28515625" style="5" customWidth="1"/>
    <col min="14857" max="14857" width="14.7109375" style="5" customWidth="1"/>
    <col min="14858" max="14858" width="16.5703125" style="5" customWidth="1"/>
    <col min="14859" max="14859" width="63" style="5" customWidth="1"/>
    <col min="14860" max="15106" width="9.140625" style="5"/>
    <col min="15107" max="15107" width="22.140625" style="5" customWidth="1"/>
    <col min="15108" max="15109" width="15.7109375" style="5" customWidth="1"/>
    <col min="15110" max="15110" width="12.42578125" style="5" customWidth="1"/>
    <col min="15111" max="15111" width="17" style="5" customWidth="1"/>
    <col min="15112" max="15112" width="13.28515625" style="5" customWidth="1"/>
    <col min="15113" max="15113" width="14.7109375" style="5" customWidth="1"/>
    <col min="15114" max="15114" width="16.5703125" style="5" customWidth="1"/>
    <col min="15115" max="15115" width="63" style="5" customWidth="1"/>
    <col min="15116" max="15362" width="9.140625" style="5"/>
    <col min="15363" max="15363" width="22.140625" style="5" customWidth="1"/>
    <col min="15364" max="15365" width="15.7109375" style="5" customWidth="1"/>
    <col min="15366" max="15366" width="12.42578125" style="5" customWidth="1"/>
    <col min="15367" max="15367" width="17" style="5" customWidth="1"/>
    <col min="15368" max="15368" width="13.28515625" style="5" customWidth="1"/>
    <col min="15369" max="15369" width="14.7109375" style="5" customWidth="1"/>
    <col min="15370" max="15370" width="16.5703125" style="5" customWidth="1"/>
    <col min="15371" max="15371" width="63" style="5" customWidth="1"/>
    <col min="15372" max="15618" width="9.140625" style="5"/>
    <col min="15619" max="15619" width="22.140625" style="5" customWidth="1"/>
    <col min="15620" max="15621" width="15.7109375" style="5" customWidth="1"/>
    <col min="15622" max="15622" width="12.42578125" style="5" customWidth="1"/>
    <col min="15623" max="15623" width="17" style="5" customWidth="1"/>
    <col min="15624" max="15624" width="13.28515625" style="5" customWidth="1"/>
    <col min="15625" max="15625" width="14.7109375" style="5" customWidth="1"/>
    <col min="15626" max="15626" width="16.5703125" style="5" customWidth="1"/>
    <col min="15627" max="15627" width="63" style="5" customWidth="1"/>
    <col min="15628" max="15874" width="9.140625" style="5"/>
    <col min="15875" max="15875" width="22.140625" style="5" customWidth="1"/>
    <col min="15876" max="15877" width="15.7109375" style="5" customWidth="1"/>
    <col min="15878" max="15878" width="12.42578125" style="5" customWidth="1"/>
    <col min="15879" max="15879" width="17" style="5" customWidth="1"/>
    <col min="15880" max="15880" width="13.28515625" style="5" customWidth="1"/>
    <col min="15881" max="15881" width="14.7109375" style="5" customWidth="1"/>
    <col min="15882" max="15882" width="16.5703125" style="5" customWidth="1"/>
    <col min="15883" max="15883" width="63" style="5" customWidth="1"/>
    <col min="15884" max="16130" width="9.140625" style="5"/>
    <col min="16131" max="16131" width="22.140625" style="5" customWidth="1"/>
    <col min="16132" max="16133" width="15.7109375" style="5" customWidth="1"/>
    <col min="16134" max="16134" width="12.42578125" style="5" customWidth="1"/>
    <col min="16135" max="16135" width="17" style="5" customWidth="1"/>
    <col min="16136" max="16136" width="13.28515625" style="5" customWidth="1"/>
    <col min="16137" max="16137" width="14.7109375" style="5" customWidth="1"/>
    <col min="16138" max="16138" width="16.5703125" style="5" customWidth="1"/>
    <col min="16139" max="16139" width="63" style="5" customWidth="1"/>
    <col min="16140" max="16384" width="9.140625" style="5"/>
  </cols>
  <sheetData>
    <row r="1" spans="1:10" ht="21">
      <c r="A1" s="1" t="s">
        <v>0</v>
      </c>
      <c r="B1" s="2">
        <v>41377</v>
      </c>
      <c r="C1" s="3" t="s">
        <v>1</v>
      </c>
      <c r="D1" s="4">
        <v>31.01</v>
      </c>
      <c r="E1" s="5" t="s">
        <v>2</v>
      </c>
    </row>
    <row r="3" spans="1:10" s="8" customFormat="1" ht="30">
      <c r="A3" s="6" t="s">
        <v>3</v>
      </c>
      <c r="B3" s="7" t="s">
        <v>17</v>
      </c>
      <c r="C3" s="7" t="s">
        <v>4</v>
      </c>
      <c r="D3" s="7" t="s">
        <v>5</v>
      </c>
      <c r="E3" s="7" t="s">
        <v>19</v>
      </c>
      <c r="F3" s="6" t="s">
        <v>18</v>
      </c>
      <c r="G3" s="6" t="s">
        <v>6</v>
      </c>
      <c r="H3" s="6" t="s">
        <v>7</v>
      </c>
      <c r="I3" s="6" t="s">
        <v>8</v>
      </c>
    </row>
    <row r="4" spans="1:10" s="8" customFormat="1">
      <c r="A4" s="9" t="s">
        <v>10</v>
      </c>
      <c r="B4" s="9">
        <v>2</v>
      </c>
      <c r="C4" s="9">
        <v>13.93</v>
      </c>
      <c r="D4" s="9">
        <v>3.44</v>
      </c>
      <c r="E4" s="9"/>
      <c r="F4" s="9">
        <f>C4+D4+E4</f>
        <v>17.37</v>
      </c>
      <c r="G4" s="16"/>
      <c r="H4" s="17"/>
      <c r="I4" s="17"/>
    </row>
    <row r="5" spans="1:10" s="8" customFormat="1">
      <c r="A5" s="9" t="s">
        <v>27</v>
      </c>
      <c r="B5" s="9">
        <v>4</v>
      </c>
      <c r="C5" s="9">
        <v>27.2</v>
      </c>
      <c r="D5" s="9">
        <v>6.88</v>
      </c>
      <c r="E5" s="9">
        <f>C5*0.05</f>
        <v>1.36</v>
      </c>
      <c r="F5" s="9">
        <f>C5+D5+E5</f>
        <v>35.44</v>
      </c>
      <c r="G5" s="15">
        <f t="shared" ref="G5:G19" si="0">F5*$D$1</f>
        <v>1098.9944</v>
      </c>
      <c r="H5" s="10">
        <v>1118</v>
      </c>
      <c r="I5" s="18">
        <f t="shared" ref="I5:I19" si="1">-G5+H5</f>
        <v>19.005599999999959</v>
      </c>
    </row>
    <row r="6" spans="1:10" s="8" customFormat="1">
      <c r="A6" s="9" t="s">
        <v>28</v>
      </c>
      <c r="B6" s="9">
        <v>1</v>
      </c>
      <c r="C6" s="9">
        <v>7.98</v>
      </c>
      <c r="D6" s="9">
        <v>1.72</v>
      </c>
      <c r="E6" s="9">
        <f t="shared" ref="E6:E16" si="2">C6*0.05</f>
        <v>0.39900000000000002</v>
      </c>
      <c r="F6" s="9">
        <f t="shared" ref="F6:F19" si="3">C6+D6+E6</f>
        <v>10.099</v>
      </c>
      <c r="G6" s="21">
        <f t="shared" ref="G6:G16" si="4">F6*$D$1</f>
        <v>313.16999000000004</v>
      </c>
      <c r="H6" s="10">
        <v>306</v>
      </c>
      <c r="I6" s="18">
        <f t="shared" ref="I6:I16" si="5">-G6+H6</f>
        <v>-7.1699900000000412</v>
      </c>
    </row>
    <row r="7" spans="1:10" s="8" customFormat="1">
      <c r="A7" s="9" t="s">
        <v>29</v>
      </c>
      <c r="B7" s="9">
        <v>1</v>
      </c>
      <c r="C7" s="9">
        <v>3.75</v>
      </c>
      <c r="D7" s="9">
        <v>1.72</v>
      </c>
      <c r="E7" s="9">
        <f t="shared" si="2"/>
        <v>0.1875</v>
      </c>
      <c r="F7" s="9">
        <f t="shared" si="3"/>
        <v>5.6574999999999998</v>
      </c>
      <c r="G7" s="21">
        <f t="shared" si="4"/>
        <v>175.439075</v>
      </c>
      <c r="H7" s="10">
        <v>173</v>
      </c>
      <c r="I7" s="18">
        <f t="shared" si="5"/>
        <v>-2.4390750000000025</v>
      </c>
    </row>
    <row r="8" spans="1:10" s="8" customFormat="1">
      <c r="A8" s="9" t="s">
        <v>30</v>
      </c>
      <c r="B8" s="9">
        <v>1</v>
      </c>
      <c r="C8" s="9">
        <v>3.75</v>
      </c>
      <c r="D8" s="9">
        <v>1.72</v>
      </c>
      <c r="E8" s="9">
        <f t="shared" si="2"/>
        <v>0.1875</v>
      </c>
      <c r="F8" s="9">
        <f t="shared" si="3"/>
        <v>5.6574999999999998</v>
      </c>
      <c r="G8" s="21">
        <f t="shared" si="4"/>
        <v>175.439075</v>
      </c>
      <c r="H8" s="10">
        <v>175</v>
      </c>
      <c r="I8" s="18">
        <f t="shared" si="5"/>
        <v>-0.43907500000000255</v>
      </c>
    </row>
    <row r="9" spans="1:10" s="8" customFormat="1">
      <c r="A9" s="9" t="s">
        <v>31</v>
      </c>
      <c r="B9" s="9">
        <v>3</v>
      </c>
      <c r="C9" s="9">
        <v>21.3</v>
      </c>
      <c r="D9" s="9">
        <v>5.16</v>
      </c>
      <c r="E9" s="9">
        <f t="shared" si="2"/>
        <v>1.0650000000000002</v>
      </c>
      <c r="F9" s="9">
        <f t="shared" si="3"/>
        <v>27.525000000000002</v>
      </c>
      <c r="G9" s="21">
        <f t="shared" si="4"/>
        <v>853.55025000000012</v>
      </c>
      <c r="H9" s="10">
        <v>900</v>
      </c>
      <c r="I9" s="18">
        <f t="shared" si="5"/>
        <v>46.449749999999881</v>
      </c>
    </row>
    <row r="10" spans="1:10" s="8" customFormat="1">
      <c r="A10" s="9" t="s">
        <v>32</v>
      </c>
      <c r="B10" s="9">
        <v>1</v>
      </c>
      <c r="C10" s="9">
        <v>2.75</v>
      </c>
      <c r="D10" s="9">
        <v>1.72</v>
      </c>
      <c r="E10" s="9">
        <f t="shared" si="2"/>
        <v>0.13750000000000001</v>
      </c>
      <c r="F10" s="9">
        <f t="shared" si="3"/>
        <v>4.6074999999999999</v>
      </c>
      <c r="G10" s="21">
        <f t="shared" si="4"/>
        <v>142.87857500000001</v>
      </c>
      <c r="H10" s="10">
        <v>141</v>
      </c>
      <c r="I10" s="18">
        <f t="shared" si="5"/>
        <v>-1.8785750000000121</v>
      </c>
    </row>
    <row r="11" spans="1:10" s="8" customFormat="1">
      <c r="A11" s="9" t="s">
        <v>33</v>
      </c>
      <c r="B11" s="9">
        <v>5</v>
      </c>
      <c r="C11" s="9">
        <v>14.74</v>
      </c>
      <c r="D11" s="9">
        <v>8.6</v>
      </c>
      <c r="E11" s="9">
        <f t="shared" si="2"/>
        <v>0.7370000000000001</v>
      </c>
      <c r="F11" s="9">
        <f t="shared" si="3"/>
        <v>24.076999999999998</v>
      </c>
      <c r="G11" s="21">
        <f t="shared" si="4"/>
        <v>746.62776999999994</v>
      </c>
      <c r="H11" s="10">
        <v>736</v>
      </c>
      <c r="I11" s="18">
        <f t="shared" si="5"/>
        <v>-10.627769999999941</v>
      </c>
    </row>
    <row r="12" spans="1:10" s="8" customFormat="1">
      <c r="A12" s="9" t="s">
        <v>34</v>
      </c>
      <c r="B12" s="9">
        <v>1</v>
      </c>
      <c r="C12" s="9">
        <v>16.95</v>
      </c>
      <c r="D12" s="9">
        <v>3.96</v>
      </c>
      <c r="E12" s="9">
        <f t="shared" si="2"/>
        <v>0.84750000000000003</v>
      </c>
      <c r="F12" s="9">
        <f t="shared" si="3"/>
        <v>21.7575</v>
      </c>
      <c r="G12" s="21">
        <f t="shared" si="4"/>
        <v>674.70007500000008</v>
      </c>
      <c r="H12" s="10">
        <v>660</v>
      </c>
      <c r="I12" s="18">
        <f t="shared" si="5"/>
        <v>-14.700075000000083</v>
      </c>
      <c r="J12" s="8">
        <f>(C12/2+D12)*D1</f>
        <v>385.60935000000001</v>
      </c>
    </row>
    <row r="13" spans="1:10" s="8" customFormat="1">
      <c r="A13" s="9" t="s">
        <v>35</v>
      </c>
      <c r="B13" s="9">
        <v>6</v>
      </c>
      <c r="C13" s="9">
        <v>27.72</v>
      </c>
      <c r="D13" s="9">
        <v>10.32</v>
      </c>
      <c r="E13" s="9">
        <f t="shared" si="2"/>
        <v>1.3860000000000001</v>
      </c>
      <c r="F13" s="9">
        <f t="shared" si="3"/>
        <v>39.426000000000002</v>
      </c>
      <c r="G13" s="21">
        <f t="shared" si="4"/>
        <v>1222.6002600000002</v>
      </c>
      <c r="H13" s="10">
        <v>1591</v>
      </c>
      <c r="I13" s="18">
        <f t="shared" si="5"/>
        <v>368.39973999999984</v>
      </c>
    </row>
    <row r="14" spans="1:10" s="8" customFormat="1">
      <c r="A14" s="9" t="s">
        <v>15</v>
      </c>
      <c r="B14" s="9">
        <v>3</v>
      </c>
      <c r="C14" s="9">
        <v>10.85</v>
      </c>
      <c r="D14" s="9">
        <v>5.16</v>
      </c>
      <c r="E14" s="9">
        <f t="shared" si="2"/>
        <v>0.54249999999999998</v>
      </c>
      <c r="F14" s="9">
        <f t="shared" si="3"/>
        <v>16.552499999999998</v>
      </c>
      <c r="G14" s="21">
        <f t="shared" si="4"/>
        <v>513.29302499999994</v>
      </c>
      <c r="H14" s="10">
        <f>505+8</f>
        <v>513</v>
      </c>
      <c r="I14" s="18">
        <f t="shared" si="5"/>
        <v>-0.29302499999994325</v>
      </c>
    </row>
    <row r="15" spans="1:10" s="8" customFormat="1">
      <c r="A15" s="9" t="s">
        <v>36</v>
      </c>
      <c r="B15" s="9">
        <v>2</v>
      </c>
      <c r="C15" s="9">
        <v>13.6</v>
      </c>
      <c r="D15" s="9">
        <v>3.44</v>
      </c>
      <c r="E15" s="9">
        <f t="shared" si="2"/>
        <v>0.68</v>
      </c>
      <c r="F15" s="9">
        <f t="shared" si="3"/>
        <v>17.72</v>
      </c>
      <c r="G15" s="21">
        <f t="shared" si="4"/>
        <v>549.49720000000002</v>
      </c>
      <c r="H15" s="10">
        <v>538</v>
      </c>
      <c r="I15" s="18">
        <f t="shared" si="5"/>
        <v>-11.497200000000021</v>
      </c>
    </row>
    <row r="16" spans="1:10" s="8" customFormat="1">
      <c r="A16" s="9" t="s">
        <v>24</v>
      </c>
      <c r="B16" s="9">
        <v>3</v>
      </c>
      <c r="C16" s="9">
        <v>13.25</v>
      </c>
      <c r="D16" s="9">
        <v>5.16</v>
      </c>
      <c r="E16" s="9">
        <f t="shared" si="2"/>
        <v>0.66250000000000009</v>
      </c>
      <c r="F16" s="9">
        <f t="shared" si="3"/>
        <v>19.072500000000002</v>
      </c>
      <c r="G16" s="21">
        <f t="shared" si="4"/>
        <v>591.4382250000001</v>
      </c>
      <c r="H16" s="10">
        <v>581</v>
      </c>
      <c r="I16" s="18">
        <f t="shared" si="5"/>
        <v>-10.438225000000102</v>
      </c>
    </row>
    <row r="17" spans="1:9" s="8" customFormat="1">
      <c r="A17" s="9" t="s">
        <v>37</v>
      </c>
      <c r="B17" s="9">
        <v>2</v>
      </c>
      <c r="C17" s="9">
        <v>13.6</v>
      </c>
      <c r="D17" s="9">
        <v>3.44</v>
      </c>
      <c r="E17" s="9">
        <f t="shared" ref="E17:E19" si="6">C17*0.05</f>
        <v>0.68</v>
      </c>
      <c r="F17" s="9">
        <f t="shared" si="3"/>
        <v>17.72</v>
      </c>
      <c r="G17" s="21">
        <f t="shared" si="0"/>
        <v>549.49720000000002</v>
      </c>
      <c r="H17" s="10">
        <v>538</v>
      </c>
      <c r="I17" s="18">
        <f t="shared" si="1"/>
        <v>-11.497200000000021</v>
      </c>
    </row>
    <row r="18" spans="1:9" s="8" customFormat="1">
      <c r="A18" s="9" t="s">
        <v>38</v>
      </c>
      <c r="B18" s="9">
        <v>3</v>
      </c>
      <c r="C18" s="9">
        <v>19.850000000000001</v>
      </c>
      <c r="D18" s="9">
        <v>5.16</v>
      </c>
      <c r="E18" s="9">
        <f t="shared" si="6"/>
        <v>0.99250000000000016</v>
      </c>
      <c r="F18" s="9">
        <f t="shared" si="3"/>
        <v>26.002500000000001</v>
      </c>
      <c r="G18" s="21">
        <f t="shared" si="0"/>
        <v>806.33752500000003</v>
      </c>
      <c r="H18" s="10">
        <v>789</v>
      </c>
      <c r="I18" s="18">
        <f t="shared" si="1"/>
        <v>-17.337525000000028</v>
      </c>
    </row>
    <row r="19" spans="1:9" s="8" customFormat="1">
      <c r="A19" s="9" t="s">
        <v>39</v>
      </c>
      <c r="B19" s="9">
        <v>1</v>
      </c>
      <c r="C19" s="9">
        <v>6.8</v>
      </c>
      <c r="D19" s="9">
        <v>1.72</v>
      </c>
      <c r="E19" s="9">
        <f t="shared" si="6"/>
        <v>0.34</v>
      </c>
      <c r="F19" s="9">
        <f t="shared" si="3"/>
        <v>8.86</v>
      </c>
      <c r="G19" s="21">
        <f t="shared" si="0"/>
        <v>274.74860000000001</v>
      </c>
      <c r="H19" s="10">
        <v>269</v>
      </c>
      <c r="I19" s="18">
        <f t="shared" si="1"/>
        <v>-5.7486000000000104</v>
      </c>
    </row>
    <row r="20" spans="1:9">
      <c r="A20" s="11"/>
      <c r="B20" s="11"/>
      <c r="C20" s="11">
        <f>SUM(C4:C19)</f>
        <v>218.01999999999998</v>
      </c>
      <c r="D20" s="11"/>
      <c r="E20" s="11"/>
      <c r="F20" s="11"/>
      <c r="G20" s="11"/>
      <c r="H20" s="11"/>
      <c r="I20" s="11"/>
    </row>
    <row r="23" spans="1:9">
      <c r="A23" s="13"/>
      <c r="I23" s="5">
        <f>420*0.7*1.05</f>
        <v>308.7</v>
      </c>
    </row>
    <row r="24" spans="1:9">
      <c r="A24" s="13"/>
    </row>
    <row r="25" spans="1:9">
      <c r="A25" s="13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0000"/>
  </sheetPr>
  <dimension ref="A1:J8"/>
  <sheetViews>
    <sheetView workbookViewId="0">
      <selection activeCell="A9" sqref="A9:XFD10"/>
    </sheetView>
  </sheetViews>
  <sheetFormatPr defaultRowHeight="15"/>
  <cols>
    <col min="1" max="1" width="18.28515625" customWidth="1"/>
    <col min="2" max="2" width="16.28515625" customWidth="1"/>
  </cols>
  <sheetData>
    <row r="1" spans="1:10" ht="21">
      <c r="A1" s="1" t="s">
        <v>0</v>
      </c>
      <c r="B1" s="2">
        <v>41408</v>
      </c>
      <c r="C1" s="3" t="s">
        <v>1</v>
      </c>
      <c r="D1" s="4">
        <v>31.43</v>
      </c>
      <c r="E1" s="5" t="s">
        <v>2</v>
      </c>
      <c r="F1" s="5"/>
      <c r="G1" s="5"/>
      <c r="H1" s="5"/>
      <c r="I1" s="5"/>
    </row>
    <row r="2" spans="1:10">
      <c r="A2" s="5"/>
      <c r="B2" s="5"/>
      <c r="C2" s="5"/>
      <c r="D2" s="5"/>
      <c r="E2" s="5"/>
      <c r="F2" s="5"/>
      <c r="G2" s="5"/>
      <c r="H2" s="5"/>
      <c r="I2" s="5"/>
    </row>
    <row r="3" spans="1:10" ht="60">
      <c r="A3" s="6" t="s">
        <v>3</v>
      </c>
      <c r="B3" s="7" t="s">
        <v>17</v>
      </c>
      <c r="C3" s="7" t="s">
        <v>4</v>
      </c>
      <c r="D3" s="7" t="s">
        <v>5</v>
      </c>
      <c r="E3" s="7" t="s">
        <v>19</v>
      </c>
      <c r="F3" s="6" t="s">
        <v>18</v>
      </c>
      <c r="G3" s="6" t="s">
        <v>6</v>
      </c>
      <c r="H3" s="6" t="s">
        <v>7</v>
      </c>
      <c r="I3" s="6" t="s">
        <v>8</v>
      </c>
    </row>
    <row r="4" spans="1:10">
      <c r="A4" s="9" t="s">
        <v>10</v>
      </c>
      <c r="B4" s="9">
        <v>2</v>
      </c>
      <c r="C4" s="9">
        <f>6.8*B4</f>
        <v>13.6</v>
      </c>
      <c r="D4" s="9">
        <f>1.72*B4</f>
        <v>3.44</v>
      </c>
      <c r="E4" s="9"/>
      <c r="F4" s="9">
        <f>C4+D4+E4</f>
        <v>17.04</v>
      </c>
      <c r="G4" s="16"/>
      <c r="H4" s="17"/>
      <c r="I4" s="17"/>
    </row>
    <row r="5" spans="1:10">
      <c r="A5" t="s">
        <v>22</v>
      </c>
      <c r="B5" s="9">
        <v>34</v>
      </c>
      <c r="C5" s="9">
        <v>150.12</v>
      </c>
      <c r="D5" s="9">
        <f>70.52</f>
        <v>70.52</v>
      </c>
      <c r="E5" s="9">
        <f>C5*0.05</f>
        <v>7.5060000000000002</v>
      </c>
      <c r="F5" s="9">
        <f>C5+D5+E5</f>
        <v>228.14599999999999</v>
      </c>
      <c r="G5" s="15">
        <f>F5*D1</f>
        <v>7170.6287799999991</v>
      </c>
      <c r="H5" s="10">
        <f>120+7078</f>
        <v>7198</v>
      </c>
      <c r="I5" s="18">
        <f>-G5+H5</f>
        <v>27.371220000000903</v>
      </c>
      <c r="J5">
        <f>7078-7271</f>
        <v>-193</v>
      </c>
    </row>
    <row r="6" spans="1:10">
      <c r="A6" s="11"/>
      <c r="B6" s="11"/>
      <c r="C6" s="11">
        <f>SUM(C4:C5)</f>
        <v>163.72</v>
      </c>
      <c r="D6" s="11"/>
      <c r="E6" s="11"/>
      <c r="F6" s="11"/>
      <c r="G6" s="11"/>
      <c r="H6" s="11"/>
      <c r="I6" s="11"/>
    </row>
    <row r="7" spans="1:10">
      <c r="A7" s="5"/>
      <c r="B7" s="5"/>
      <c r="C7" s="5"/>
      <c r="D7" s="5"/>
      <c r="E7" s="5"/>
      <c r="F7" s="5"/>
      <c r="G7" s="5"/>
      <c r="H7" s="5"/>
      <c r="I7" s="5"/>
    </row>
    <row r="8" spans="1:10">
      <c r="A8" s="5"/>
      <c r="B8" s="5"/>
      <c r="C8" s="5"/>
      <c r="D8" s="5"/>
      <c r="E8" s="5"/>
      <c r="F8" s="5"/>
      <c r="G8" s="5"/>
      <c r="H8" s="5"/>
      <c r="I8" s="5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0000"/>
  </sheetPr>
  <dimension ref="A1:J18"/>
  <sheetViews>
    <sheetView workbookViewId="0">
      <selection activeCell="E26" sqref="E26"/>
    </sheetView>
  </sheetViews>
  <sheetFormatPr defaultColWidth="9.140625" defaultRowHeight="15"/>
  <cols>
    <col min="1" max="1" width="14" style="5" customWidth="1"/>
    <col min="2" max="2" width="15.28515625" style="5" customWidth="1"/>
    <col min="3" max="3" width="12.7109375" style="5" customWidth="1"/>
    <col min="4" max="4" width="12.42578125" style="5" customWidth="1"/>
    <col min="5" max="5" width="9.140625" style="5" customWidth="1"/>
    <col min="6" max="6" width="10.140625" style="5" customWidth="1"/>
    <col min="7" max="7" width="9.7109375" style="5" customWidth="1"/>
    <col min="8" max="8" width="12" style="5" customWidth="1"/>
    <col min="9" max="9" width="10" style="5" customWidth="1"/>
    <col min="10" max="10" width="16.5703125" style="5" customWidth="1"/>
    <col min="11" max="11" width="63" style="5" customWidth="1"/>
    <col min="12" max="258" width="9.140625" style="5"/>
    <col min="259" max="259" width="22.140625" style="5" customWidth="1"/>
    <col min="260" max="261" width="15.7109375" style="5" customWidth="1"/>
    <col min="262" max="262" width="12.42578125" style="5" customWidth="1"/>
    <col min="263" max="263" width="17" style="5" customWidth="1"/>
    <col min="264" max="264" width="13.28515625" style="5" customWidth="1"/>
    <col min="265" max="265" width="14.7109375" style="5" customWidth="1"/>
    <col min="266" max="266" width="16.5703125" style="5" customWidth="1"/>
    <col min="267" max="267" width="63" style="5" customWidth="1"/>
    <col min="268" max="514" width="9.140625" style="5"/>
    <col min="515" max="515" width="22.140625" style="5" customWidth="1"/>
    <col min="516" max="517" width="15.7109375" style="5" customWidth="1"/>
    <col min="518" max="518" width="12.42578125" style="5" customWidth="1"/>
    <col min="519" max="519" width="17" style="5" customWidth="1"/>
    <col min="520" max="520" width="13.28515625" style="5" customWidth="1"/>
    <col min="521" max="521" width="14.7109375" style="5" customWidth="1"/>
    <col min="522" max="522" width="16.5703125" style="5" customWidth="1"/>
    <col min="523" max="523" width="63" style="5" customWidth="1"/>
    <col min="524" max="770" width="9.140625" style="5"/>
    <col min="771" max="771" width="22.140625" style="5" customWidth="1"/>
    <col min="772" max="773" width="15.7109375" style="5" customWidth="1"/>
    <col min="774" max="774" width="12.42578125" style="5" customWidth="1"/>
    <col min="775" max="775" width="17" style="5" customWidth="1"/>
    <col min="776" max="776" width="13.28515625" style="5" customWidth="1"/>
    <col min="777" max="777" width="14.7109375" style="5" customWidth="1"/>
    <col min="778" max="778" width="16.5703125" style="5" customWidth="1"/>
    <col min="779" max="779" width="63" style="5" customWidth="1"/>
    <col min="780" max="1026" width="9.140625" style="5"/>
    <col min="1027" max="1027" width="22.140625" style="5" customWidth="1"/>
    <col min="1028" max="1029" width="15.7109375" style="5" customWidth="1"/>
    <col min="1030" max="1030" width="12.42578125" style="5" customWidth="1"/>
    <col min="1031" max="1031" width="17" style="5" customWidth="1"/>
    <col min="1032" max="1032" width="13.28515625" style="5" customWidth="1"/>
    <col min="1033" max="1033" width="14.7109375" style="5" customWidth="1"/>
    <col min="1034" max="1034" width="16.5703125" style="5" customWidth="1"/>
    <col min="1035" max="1035" width="63" style="5" customWidth="1"/>
    <col min="1036" max="1282" width="9.140625" style="5"/>
    <col min="1283" max="1283" width="22.140625" style="5" customWidth="1"/>
    <col min="1284" max="1285" width="15.7109375" style="5" customWidth="1"/>
    <col min="1286" max="1286" width="12.42578125" style="5" customWidth="1"/>
    <col min="1287" max="1287" width="17" style="5" customWidth="1"/>
    <col min="1288" max="1288" width="13.28515625" style="5" customWidth="1"/>
    <col min="1289" max="1289" width="14.7109375" style="5" customWidth="1"/>
    <col min="1290" max="1290" width="16.5703125" style="5" customWidth="1"/>
    <col min="1291" max="1291" width="63" style="5" customWidth="1"/>
    <col min="1292" max="1538" width="9.140625" style="5"/>
    <col min="1539" max="1539" width="22.140625" style="5" customWidth="1"/>
    <col min="1540" max="1541" width="15.7109375" style="5" customWidth="1"/>
    <col min="1542" max="1542" width="12.42578125" style="5" customWidth="1"/>
    <col min="1543" max="1543" width="17" style="5" customWidth="1"/>
    <col min="1544" max="1544" width="13.28515625" style="5" customWidth="1"/>
    <col min="1545" max="1545" width="14.7109375" style="5" customWidth="1"/>
    <col min="1546" max="1546" width="16.5703125" style="5" customWidth="1"/>
    <col min="1547" max="1547" width="63" style="5" customWidth="1"/>
    <col min="1548" max="1794" width="9.140625" style="5"/>
    <col min="1795" max="1795" width="22.140625" style="5" customWidth="1"/>
    <col min="1796" max="1797" width="15.7109375" style="5" customWidth="1"/>
    <col min="1798" max="1798" width="12.42578125" style="5" customWidth="1"/>
    <col min="1799" max="1799" width="17" style="5" customWidth="1"/>
    <col min="1800" max="1800" width="13.28515625" style="5" customWidth="1"/>
    <col min="1801" max="1801" width="14.7109375" style="5" customWidth="1"/>
    <col min="1802" max="1802" width="16.5703125" style="5" customWidth="1"/>
    <col min="1803" max="1803" width="63" style="5" customWidth="1"/>
    <col min="1804" max="2050" width="9.140625" style="5"/>
    <col min="2051" max="2051" width="22.140625" style="5" customWidth="1"/>
    <col min="2052" max="2053" width="15.7109375" style="5" customWidth="1"/>
    <col min="2054" max="2054" width="12.42578125" style="5" customWidth="1"/>
    <col min="2055" max="2055" width="17" style="5" customWidth="1"/>
    <col min="2056" max="2056" width="13.28515625" style="5" customWidth="1"/>
    <col min="2057" max="2057" width="14.7109375" style="5" customWidth="1"/>
    <col min="2058" max="2058" width="16.5703125" style="5" customWidth="1"/>
    <col min="2059" max="2059" width="63" style="5" customWidth="1"/>
    <col min="2060" max="2306" width="9.140625" style="5"/>
    <col min="2307" max="2307" width="22.140625" style="5" customWidth="1"/>
    <col min="2308" max="2309" width="15.7109375" style="5" customWidth="1"/>
    <col min="2310" max="2310" width="12.42578125" style="5" customWidth="1"/>
    <col min="2311" max="2311" width="17" style="5" customWidth="1"/>
    <col min="2312" max="2312" width="13.28515625" style="5" customWidth="1"/>
    <col min="2313" max="2313" width="14.7109375" style="5" customWidth="1"/>
    <col min="2314" max="2314" width="16.5703125" style="5" customWidth="1"/>
    <col min="2315" max="2315" width="63" style="5" customWidth="1"/>
    <col min="2316" max="2562" width="9.140625" style="5"/>
    <col min="2563" max="2563" width="22.140625" style="5" customWidth="1"/>
    <col min="2564" max="2565" width="15.7109375" style="5" customWidth="1"/>
    <col min="2566" max="2566" width="12.42578125" style="5" customWidth="1"/>
    <col min="2567" max="2567" width="17" style="5" customWidth="1"/>
    <col min="2568" max="2568" width="13.28515625" style="5" customWidth="1"/>
    <col min="2569" max="2569" width="14.7109375" style="5" customWidth="1"/>
    <col min="2570" max="2570" width="16.5703125" style="5" customWidth="1"/>
    <col min="2571" max="2571" width="63" style="5" customWidth="1"/>
    <col min="2572" max="2818" width="9.140625" style="5"/>
    <col min="2819" max="2819" width="22.140625" style="5" customWidth="1"/>
    <col min="2820" max="2821" width="15.7109375" style="5" customWidth="1"/>
    <col min="2822" max="2822" width="12.42578125" style="5" customWidth="1"/>
    <col min="2823" max="2823" width="17" style="5" customWidth="1"/>
    <col min="2824" max="2824" width="13.28515625" style="5" customWidth="1"/>
    <col min="2825" max="2825" width="14.7109375" style="5" customWidth="1"/>
    <col min="2826" max="2826" width="16.5703125" style="5" customWidth="1"/>
    <col min="2827" max="2827" width="63" style="5" customWidth="1"/>
    <col min="2828" max="3074" width="9.140625" style="5"/>
    <col min="3075" max="3075" width="22.140625" style="5" customWidth="1"/>
    <col min="3076" max="3077" width="15.7109375" style="5" customWidth="1"/>
    <col min="3078" max="3078" width="12.42578125" style="5" customWidth="1"/>
    <col min="3079" max="3079" width="17" style="5" customWidth="1"/>
    <col min="3080" max="3080" width="13.28515625" style="5" customWidth="1"/>
    <col min="3081" max="3081" width="14.7109375" style="5" customWidth="1"/>
    <col min="3082" max="3082" width="16.5703125" style="5" customWidth="1"/>
    <col min="3083" max="3083" width="63" style="5" customWidth="1"/>
    <col min="3084" max="3330" width="9.140625" style="5"/>
    <col min="3331" max="3331" width="22.140625" style="5" customWidth="1"/>
    <col min="3332" max="3333" width="15.7109375" style="5" customWidth="1"/>
    <col min="3334" max="3334" width="12.42578125" style="5" customWidth="1"/>
    <col min="3335" max="3335" width="17" style="5" customWidth="1"/>
    <col min="3336" max="3336" width="13.28515625" style="5" customWidth="1"/>
    <col min="3337" max="3337" width="14.7109375" style="5" customWidth="1"/>
    <col min="3338" max="3338" width="16.5703125" style="5" customWidth="1"/>
    <col min="3339" max="3339" width="63" style="5" customWidth="1"/>
    <col min="3340" max="3586" width="9.140625" style="5"/>
    <col min="3587" max="3587" width="22.140625" style="5" customWidth="1"/>
    <col min="3588" max="3589" width="15.7109375" style="5" customWidth="1"/>
    <col min="3590" max="3590" width="12.42578125" style="5" customWidth="1"/>
    <col min="3591" max="3591" width="17" style="5" customWidth="1"/>
    <col min="3592" max="3592" width="13.28515625" style="5" customWidth="1"/>
    <col min="3593" max="3593" width="14.7109375" style="5" customWidth="1"/>
    <col min="3594" max="3594" width="16.5703125" style="5" customWidth="1"/>
    <col min="3595" max="3595" width="63" style="5" customWidth="1"/>
    <col min="3596" max="3842" width="9.140625" style="5"/>
    <col min="3843" max="3843" width="22.140625" style="5" customWidth="1"/>
    <col min="3844" max="3845" width="15.7109375" style="5" customWidth="1"/>
    <col min="3846" max="3846" width="12.42578125" style="5" customWidth="1"/>
    <col min="3847" max="3847" width="17" style="5" customWidth="1"/>
    <col min="3848" max="3848" width="13.28515625" style="5" customWidth="1"/>
    <col min="3849" max="3849" width="14.7109375" style="5" customWidth="1"/>
    <col min="3850" max="3850" width="16.5703125" style="5" customWidth="1"/>
    <col min="3851" max="3851" width="63" style="5" customWidth="1"/>
    <col min="3852" max="4098" width="9.140625" style="5"/>
    <col min="4099" max="4099" width="22.140625" style="5" customWidth="1"/>
    <col min="4100" max="4101" width="15.7109375" style="5" customWidth="1"/>
    <col min="4102" max="4102" width="12.42578125" style="5" customWidth="1"/>
    <col min="4103" max="4103" width="17" style="5" customWidth="1"/>
    <col min="4104" max="4104" width="13.28515625" style="5" customWidth="1"/>
    <col min="4105" max="4105" width="14.7109375" style="5" customWidth="1"/>
    <col min="4106" max="4106" width="16.5703125" style="5" customWidth="1"/>
    <col min="4107" max="4107" width="63" style="5" customWidth="1"/>
    <col min="4108" max="4354" width="9.140625" style="5"/>
    <col min="4355" max="4355" width="22.140625" style="5" customWidth="1"/>
    <col min="4356" max="4357" width="15.7109375" style="5" customWidth="1"/>
    <col min="4358" max="4358" width="12.42578125" style="5" customWidth="1"/>
    <col min="4359" max="4359" width="17" style="5" customWidth="1"/>
    <col min="4360" max="4360" width="13.28515625" style="5" customWidth="1"/>
    <col min="4361" max="4361" width="14.7109375" style="5" customWidth="1"/>
    <col min="4362" max="4362" width="16.5703125" style="5" customWidth="1"/>
    <col min="4363" max="4363" width="63" style="5" customWidth="1"/>
    <col min="4364" max="4610" width="9.140625" style="5"/>
    <col min="4611" max="4611" width="22.140625" style="5" customWidth="1"/>
    <col min="4612" max="4613" width="15.7109375" style="5" customWidth="1"/>
    <col min="4614" max="4614" width="12.42578125" style="5" customWidth="1"/>
    <col min="4615" max="4615" width="17" style="5" customWidth="1"/>
    <col min="4616" max="4616" width="13.28515625" style="5" customWidth="1"/>
    <col min="4617" max="4617" width="14.7109375" style="5" customWidth="1"/>
    <col min="4618" max="4618" width="16.5703125" style="5" customWidth="1"/>
    <col min="4619" max="4619" width="63" style="5" customWidth="1"/>
    <col min="4620" max="4866" width="9.140625" style="5"/>
    <col min="4867" max="4867" width="22.140625" style="5" customWidth="1"/>
    <col min="4868" max="4869" width="15.7109375" style="5" customWidth="1"/>
    <col min="4870" max="4870" width="12.42578125" style="5" customWidth="1"/>
    <col min="4871" max="4871" width="17" style="5" customWidth="1"/>
    <col min="4872" max="4872" width="13.28515625" style="5" customWidth="1"/>
    <col min="4873" max="4873" width="14.7109375" style="5" customWidth="1"/>
    <col min="4874" max="4874" width="16.5703125" style="5" customWidth="1"/>
    <col min="4875" max="4875" width="63" style="5" customWidth="1"/>
    <col min="4876" max="5122" width="9.140625" style="5"/>
    <col min="5123" max="5123" width="22.140625" style="5" customWidth="1"/>
    <col min="5124" max="5125" width="15.7109375" style="5" customWidth="1"/>
    <col min="5126" max="5126" width="12.42578125" style="5" customWidth="1"/>
    <col min="5127" max="5127" width="17" style="5" customWidth="1"/>
    <col min="5128" max="5128" width="13.28515625" style="5" customWidth="1"/>
    <col min="5129" max="5129" width="14.7109375" style="5" customWidth="1"/>
    <col min="5130" max="5130" width="16.5703125" style="5" customWidth="1"/>
    <col min="5131" max="5131" width="63" style="5" customWidth="1"/>
    <col min="5132" max="5378" width="9.140625" style="5"/>
    <col min="5379" max="5379" width="22.140625" style="5" customWidth="1"/>
    <col min="5380" max="5381" width="15.7109375" style="5" customWidth="1"/>
    <col min="5382" max="5382" width="12.42578125" style="5" customWidth="1"/>
    <col min="5383" max="5383" width="17" style="5" customWidth="1"/>
    <col min="5384" max="5384" width="13.28515625" style="5" customWidth="1"/>
    <col min="5385" max="5385" width="14.7109375" style="5" customWidth="1"/>
    <col min="5386" max="5386" width="16.5703125" style="5" customWidth="1"/>
    <col min="5387" max="5387" width="63" style="5" customWidth="1"/>
    <col min="5388" max="5634" width="9.140625" style="5"/>
    <col min="5635" max="5635" width="22.140625" style="5" customWidth="1"/>
    <col min="5636" max="5637" width="15.7109375" style="5" customWidth="1"/>
    <col min="5638" max="5638" width="12.42578125" style="5" customWidth="1"/>
    <col min="5639" max="5639" width="17" style="5" customWidth="1"/>
    <col min="5640" max="5640" width="13.28515625" style="5" customWidth="1"/>
    <col min="5641" max="5641" width="14.7109375" style="5" customWidth="1"/>
    <col min="5642" max="5642" width="16.5703125" style="5" customWidth="1"/>
    <col min="5643" max="5643" width="63" style="5" customWidth="1"/>
    <col min="5644" max="5890" width="9.140625" style="5"/>
    <col min="5891" max="5891" width="22.140625" style="5" customWidth="1"/>
    <col min="5892" max="5893" width="15.7109375" style="5" customWidth="1"/>
    <col min="5894" max="5894" width="12.42578125" style="5" customWidth="1"/>
    <col min="5895" max="5895" width="17" style="5" customWidth="1"/>
    <col min="5896" max="5896" width="13.28515625" style="5" customWidth="1"/>
    <col min="5897" max="5897" width="14.7109375" style="5" customWidth="1"/>
    <col min="5898" max="5898" width="16.5703125" style="5" customWidth="1"/>
    <col min="5899" max="5899" width="63" style="5" customWidth="1"/>
    <col min="5900" max="6146" width="9.140625" style="5"/>
    <col min="6147" max="6147" width="22.140625" style="5" customWidth="1"/>
    <col min="6148" max="6149" width="15.7109375" style="5" customWidth="1"/>
    <col min="6150" max="6150" width="12.42578125" style="5" customWidth="1"/>
    <col min="6151" max="6151" width="17" style="5" customWidth="1"/>
    <col min="6152" max="6152" width="13.28515625" style="5" customWidth="1"/>
    <col min="6153" max="6153" width="14.7109375" style="5" customWidth="1"/>
    <col min="6154" max="6154" width="16.5703125" style="5" customWidth="1"/>
    <col min="6155" max="6155" width="63" style="5" customWidth="1"/>
    <col min="6156" max="6402" width="9.140625" style="5"/>
    <col min="6403" max="6403" width="22.140625" style="5" customWidth="1"/>
    <col min="6404" max="6405" width="15.7109375" style="5" customWidth="1"/>
    <col min="6406" max="6406" width="12.42578125" style="5" customWidth="1"/>
    <col min="6407" max="6407" width="17" style="5" customWidth="1"/>
    <col min="6408" max="6408" width="13.28515625" style="5" customWidth="1"/>
    <col min="6409" max="6409" width="14.7109375" style="5" customWidth="1"/>
    <col min="6410" max="6410" width="16.5703125" style="5" customWidth="1"/>
    <col min="6411" max="6411" width="63" style="5" customWidth="1"/>
    <col min="6412" max="6658" width="9.140625" style="5"/>
    <col min="6659" max="6659" width="22.140625" style="5" customWidth="1"/>
    <col min="6660" max="6661" width="15.7109375" style="5" customWidth="1"/>
    <col min="6662" max="6662" width="12.42578125" style="5" customWidth="1"/>
    <col min="6663" max="6663" width="17" style="5" customWidth="1"/>
    <col min="6664" max="6664" width="13.28515625" style="5" customWidth="1"/>
    <col min="6665" max="6665" width="14.7109375" style="5" customWidth="1"/>
    <col min="6666" max="6666" width="16.5703125" style="5" customWidth="1"/>
    <col min="6667" max="6667" width="63" style="5" customWidth="1"/>
    <col min="6668" max="6914" width="9.140625" style="5"/>
    <col min="6915" max="6915" width="22.140625" style="5" customWidth="1"/>
    <col min="6916" max="6917" width="15.7109375" style="5" customWidth="1"/>
    <col min="6918" max="6918" width="12.42578125" style="5" customWidth="1"/>
    <col min="6919" max="6919" width="17" style="5" customWidth="1"/>
    <col min="6920" max="6920" width="13.28515625" style="5" customWidth="1"/>
    <col min="6921" max="6921" width="14.7109375" style="5" customWidth="1"/>
    <col min="6922" max="6922" width="16.5703125" style="5" customWidth="1"/>
    <col min="6923" max="6923" width="63" style="5" customWidth="1"/>
    <col min="6924" max="7170" width="9.140625" style="5"/>
    <col min="7171" max="7171" width="22.140625" style="5" customWidth="1"/>
    <col min="7172" max="7173" width="15.7109375" style="5" customWidth="1"/>
    <col min="7174" max="7174" width="12.42578125" style="5" customWidth="1"/>
    <col min="7175" max="7175" width="17" style="5" customWidth="1"/>
    <col min="7176" max="7176" width="13.28515625" style="5" customWidth="1"/>
    <col min="7177" max="7177" width="14.7109375" style="5" customWidth="1"/>
    <col min="7178" max="7178" width="16.5703125" style="5" customWidth="1"/>
    <col min="7179" max="7179" width="63" style="5" customWidth="1"/>
    <col min="7180" max="7426" width="9.140625" style="5"/>
    <col min="7427" max="7427" width="22.140625" style="5" customWidth="1"/>
    <col min="7428" max="7429" width="15.7109375" style="5" customWidth="1"/>
    <col min="7430" max="7430" width="12.42578125" style="5" customWidth="1"/>
    <col min="7431" max="7431" width="17" style="5" customWidth="1"/>
    <col min="7432" max="7432" width="13.28515625" style="5" customWidth="1"/>
    <col min="7433" max="7433" width="14.7109375" style="5" customWidth="1"/>
    <col min="7434" max="7434" width="16.5703125" style="5" customWidth="1"/>
    <col min="7435" max="7435" width="63" style="5" customWidth="1"/>
    <col min="7436" max="7682" width="9.140625" style="5"/>
    <col min="7683" max="7683" width="22.140625" style="5" customWidth="1"/>
    <col min="7684" max="7685" width="15.7109375" style="5" customWidth="1"/>
    <col min="7686" max="7686" width="12.42578125" style="5" customWidth="1"/>
    <col min="7687" max="7687" width="17" style="5" customWidth="1"/>
    <col min="7688" max="7688" width="13.28515625" style="5" customWidth="1"/>
    <col min="7689" max="7689" width="14.7109375" style="5" customWidth="1"/>
    <col min="7690" max="7690" width="16.5703125" style="5" customWidth="1"/>
    <col min="7691" max="7691" width="63" style="5" customWidth="1"/>
    <col min="7692" max="7938" width="9.140625" style="5"/>
    <col min="7939" max="7939" width="22.140625" style="5" customWidth="1"/>
    <col min="7940" max="7941" width="15.7109375" style="5" customWidth="1"/>
    <col min="7942" max="7942" width="12.42578125" style="5" customWidth="1"/>
    <col min="7943" max="7943" width="17" style="5" customWidth="1"/>
    <col min="7944" max="7944" width="13.28515625" style="5" customWidth="1"/>
    <col min="7945" max="7945" width="14.7109375" style="5" customWidth="1"/>
    <col min="7946" max="7946" width="16.5703125" style="5" customWidth="1"/>
    <col min="7947" max="7947" width="63" style="5" customWidth="1"/>
    <col min="7948" max="8194" width="9.140625" style="5"/>
    <col min="8195" max="8195" width="22.140625" style="5" customWidth="1"/>
    <col min="8196" max="8197" width="15.7109375" style="5" customWidth="1"/>
    <col min="8198" max="8198" width="12.42578125" style="5" customWidth="1"/>
    <col min="8199" max="8199" width="17" style="5" customWidth="1"/>
    <col min="8200" max="8200" width="13.28515625" style="5" customWidth="1"/>
    <col min="8201" max="8201" width="14.7109375" style="5" customWidth="1"/>
    <col min="8202" max="8202" width="16.5703125" style="5" customWidth="1"/>
    <col min="8203" max="8203" width="63" style="5" customWidth="1"/>
    <col min="8204" max="8450" width="9.140625" style="5"/>
    <col min="8451" max="8451" width="22.140625" style="5" customWidth="1"/>
    <col min="8452" max="8453" width="15.7109375" style="5" customWidth="1"/>
    <col min="8454" max="8454" width="12.42578125" style="5" customWidth="1"/>
    <col min="8455" max="8455" width="17" style="5" customWidth="1"/>
    <col min="8456" max="8456" width="13.28515625" style="5" customWidth="1"/>
    <col min="8457" max="8457" width="14.7109375" style="5" customWidth="1"/>
    <col min="8458" max="8458" width="16.5703125" style="5" customWidth="1"/>
    <col min="8459" max="8459" width="63" style="5" customWidth="1"/>
    <col min="8460" max="8706" width="9.140625" style="5"/>
    <col min="8707" max="8707" width="22.140625" style="5" customWidth="1"/>
    <col min="8708" max="8709" width="15.7109375" style="5" customWidth="1"/>
    <col min="8710" max="8710" width="12.42578125" style="5" customWidth="1"/>
    <col min="8711" max="8711" width="17" style="5" customWidth="1"/>
    <col min="8712" max="8712" width="13.28515625" style="5" customWidth="1"/>
    <col min="8713" max="8713" width="14.7109375" style="5" customWidth="1"/>
    <col min="8714" max="8714" width="16.5703125" style="5" customWidth="1"/>
    <col min="8715" max="8715" width="63" style="5" customWidth="1"/>
    <col min="8716" max="8962" width="9.140625" style="5"/>
    <col min="8963" max="8963" width="22.140625" style="5" customWidth="1"/>
    <col min="8964" max="8965" width="15.7109375" style="5" customWidth="1"/>
    <col min="8966" max="8966" width="12.42578125" style="5" customWidth="1"/>
    <col min="8967" max="8967" width="17" style="5" customWidth="1"/>
    <col min="8968" max="8968" width="13.28515625" style="5" customWidth="1"/>
    <col min="8969" max="8969" width="14.7109375" style="5" customWidth="1"/>
    <col min="8970" max="8970" width="16.5703125" style="5" customWidth="1"/>
    <col min="8971" max="8971" width="63" style="5" customWidth="1"/>
    <col min="8972" max="9218" width="9.140625" style="5"/>
    <col min="9219" max="9219" width="22.140625" style="5" customWidth="1"/>
    <col min="9220" max="9221" width="15.7109375" style="5" customWidth="1"/>
    <col min="9222" max="9222" width="12.42578125" style="5" customWidth="1"/>
    <col min="9223" max="9223" width="17" style="5" customWidth="1"/>
    <col min="9224" max="9224" width="13.28515625" style="5" customWidth="1"/>
    <col min="9225" max="9225" width="14.7109375" style="5" customWidth="1"/>
    <col min="9226" max="9226" width="16.5703125" style="5" customWidth="1"/>
    <col min="9227" max="9227" width="63" style="5" customWidth="1"/>
    <col min="9228" max="9474" width="9.140625" style="5"/>
    <col min="9475" max="9475" width="22.140625" style="5" customWidth="1"/>
    <col min="9476" max="9477" width="15.7109375" style="5" customWidth="1"/>
    <col min="9478" max="9478" width="12.42578125" style="5" customWidth="1"/>
    <col min="9479" max="9479" width="17" style="5" customWidth="1"/>
    <col min="9480" max="9480" width="13.28515625" style="5" customWidth="1"/>
    <col min="9481" max="9481" width="14.7109375" style="5" customWidth="1"/>
    <col min="9482" max="9482" width="16.5703125" style="5" customWidth="1"/>
    <col min="9483" max="9483" width="63" style="5" customWidth="1"/>
    <col min="9484" max="9730" width="9.140625" style="5"/>
    <col min="9731" max="9731" width="22.140625" style="5" customWidth="1"/>
    <col min="9732" max="9733" width="15.7109375" style="5" customWidth="1"/>
    <col min="9734" max="9734" width="12.42578125" style="5" customWidth="1"/>
    <col min="9735" max="9735" width="17" style="5" customWidth="1"/>
    <col min="9736" max="9736" width="13.28515625" style="5" customWidth="1"/>
    <col min="9737" max="9737" width="14.7109375" style="5" customWidth="1"/>
    <col min="9738" max="9738" width="16.5703125" style="5" customWidth="1"/>
    <col min="9739" max="9739" width="63" style="5" customWidth="1"/>
    <col min="9740" max="9986" width="9.140625" style="5"/>
    <col min="9987" max="9987" width="22.140625" style="5" customWidth="1"/>
    <col min="9988" max="9989" width="15.7109375" style="5" customWidth="1"/>
    <col min="9990" max="9990" width="12.42578125" style="5" customWidth="1"/>
    <col min="9991" max="9991" width="17" style="5" customWidth="1"/>
    <col min="9992" max="9992" width="13.28515625" style="5" customWidth="1"/>
    <col min="9993" max="9993" width="14.7109375" style="5" customWidth="1"/>
    <col min="9994" max="9994" width="16.5703125" style="5" customWidth="1"/>
    <col min="9995" max="9995" width="63" style="5" customWidth="1"/>
    <col min="9996" max="10242" width="9.140625" style="5"/>
    <col min="10243" max="10243" width="22.140625" style="5" customWidth="1"/>
    <col min="10244" max="10245" width="15.7109375" style="5" customWidth="1"/>
    <col min="10246" max="10246" width="12.42578125" style="5" customWidth="1"/>
    <col min="10247" max="10247" width="17" style="5" customWidth="1"/>
    <col min="10248" max="10248" width="13.28515625" style="5" customWidth="1"/>
    <col min="10249" max="10249" width="14.7109375" style="5" customWidth="1"/>
    <col min="10250" max="10250" width="16.5703125" style="5" customWidth="1"/>
    <col min="10251" max="10251" width="63" style="5" customWidth="1"/>
    <col min="10252" max="10498" width="9.140625" style="5"/>
    <col min="10499" max="10499" width="22.140625" style="5" customWidth="1"/>
    <col min="10500" max="10501" width="15.7109375" style="5" customWidth="1"/>
    <col min="10502" max="10502" width="12.42578125" style="5" customWidth="1"/>
    <col min="10503" max="10503" width="17" style="5" customWidth="1"/>
    <col min="10504" max="10504" width="13.28515625" style="5" customWidth="1"/>
    <col min="10505" max="10505" width="14.7109375" style="5" customWidth="1"/>
    <col min="10506" max="10506" width="16.5703125" style="5" customWidth="1"/>
    <col min="10507" max="10507" width="63" style="5" customWidth="1"/>
    <col min="10508" max="10754" width="9.140625" style="5"/>
    <col min="10755" max="10755" width="22.140625" style="5" customWidth="1"/>
    <col min="10756" max="10757" width="15.7109375" style="5" customWidth="1"/>
    <col min="10758" max="10758" width="12.42578125" style="5" customWidth="1"/>
    <col min="10759" max="10759" width="17" style="5" customWidth="1"/>
    <col min="10760" max="10760" width="13.28515625" style="5" customWidth="1"/>
    <col min="10761" max="10761" width="14.7109375" style="5" customWidth="1"/>
    <col min="10762" max="10762" width="16.5703125" style="5" customWidth="1"/>
    <col min="10763" max="10763" width="63" style="5" customWidth="1"/>
    <col min="10764" max="11010" width="9.140625" style="5"/>
    <col min="11011" max="11011" width="22.140625" style="5" customWidth="1"/>
    <col min="11012" max="11013" width="15.7109375" style="5" customWidth="1"/>
    <col min="11014" max="11014" width="12.42578125" style="5" customWidth="1"/>
    <col min="11015" max="11015" width="17" style="5" customWidth="1"/>
    <col min="11016" max="11016" width="13.28515625" style="5" customWidth="1"/>
    <col min="11017" max="11017" width="14.7109375" style="5" customWidth="1"/>
    <col min="11018" max="11018" width="16.5703125" style="5" customWidth="1"/>
    <col min="11019" max="11019" width="63" style="5" customWidth="1"/>
    <col min="11020" max="11266" width="9.140625" style="5"/>
    <col min="11267" max="11267" width="22.140625" style="5" customWidth="1"/>
    <col min="11268" max="11269" width="15.7109375" style="5" customWidth="1"/>
    <col min="11270" max="11270" width="12.42578125" style="5" customWidth="1"/>
    <col min="11271" max="11271" width="17" style="5" customWidth="1"/>
    <col min="11272" max="11272" width="13.28515625" style="5" customWidth="1"/>
    <col min="11273" max="11273" width="14.7109375" style="5" customWidth="1"/>
    <col min="11274" max="11274" width="16.5703125" style="5" customWidth="1"/>
    <col min="11275" max="11275" width="63" style="5" customWidth="1"/>
    <col min="11276" max="11522" width="9.140625" style="5"/>
    <col min="11523" max="11523" width="22.140625" style="5" customWidth="1"/>
    <col min="11524" max="11525" width="15.7109375" style="5" customWidth="1"/>
    <col min="11526" max="11526" width="12.42578125" style="5" customWidth="1"/>
    <col min="11527" max="11527" width="17" style="5" customWidth="1"/>
    <col min="11528" max="11528" width="13.28515625" style="5" customWidth="1"/>
    <col min="11529" max="11529" width="14.7109375" style="5" customWidth="1"/>
    <col min="11530" max="11530" width="16.5703125" style="5" customWidth="1"/>
    <col min="11531" max="11531" width="63" style="5" customWidth="1"/>
    <col min="11532" max="11778" width="9.140625" style="5"/>
    <col min="11779" max="11779" width="22.140625" style="5" customWidth="1"/>
    <col min="11780" max="11781" width="15.7109375" style="5" customWidth="1"/>
    <col min="11782" max="11782" width="12.42578125" style="5" customWidth="1"/>
    <col min="11783" max="11783" width="17" style="5" customWidth="1"/>
    <col min="11784" max="11784" width="13.28515625" style="5" customWidth="1"/>
    <col min="11785" max="11785" width="14.7109375" style="5" customWidth="1"/>
    <col min="11786" max="11786" width="16.5703125" style="5" customWidth="1"/>
    <col min="11787" max="11787" width="63" style="5" customWidth="1"/>
    <col min="11788" max="12034" width="9.140625" style="5"/>
    <col min="12035" max="12035" width="22.140625" style="5" customWidth="1"/>
    <col min="12036" max="12037" width="15.7109375" style="5" customWidth="1"/>
    <col min="12038" max="12038" width="12.42578125" style="5" customWidth="1"/>
    <col min="12039" max="12039" width="17" style="5" customWidth="1"/>
    <col min="12040" max="12040" width="13.28515625" style="5" customWidth="1"/>
    <col min="12041" max="12041" width="14.7109375" style="5" customWidth="1"/>
    <col min="12042" max="12042" width="16.5703125" style="5" customWidth="1"/>
    <col min="12043" max="12043" width="63" style="5" customWidth="1"/>
    <col min="12044" max="12290" width="9.140625" style="5"/>
    <col min="12291" max="12291" width="22.140625" style="5" customWidth="1"/>
    <col min="12292" max="12293" width="15.7109375" style="5" customWidth="1"/>
    <col min="12294" max="12294" width="12.42578125" style="5" customWidth="1"/>
    <col min="12295" max="12295" width="17" style="5" customWidth="1"/>
    <col min="12296" max="12296" width="13.28515625" style="5" customWidth="1"/>
    <col min="12297" max="12297" width="14.7109375" style="5" customWidth="1"/>
    <col min="12298" max="12298" width="16.5703125" style="5" customWidth="1"/>
    <col min="12299" max="12299" width="63" style="5" customWidth="1"/>
    <col min="12300" max="12546" width="9.140625" style="5"/>
    <col min="12547" max="12547" width="22.140625" style="5" customWidth="1"/>
    <col min="12548" max="12549" width="15.7109375" style="5" customWidth="1"/>
    <col min="12550" max="12550" width="12.42578125" style="5" customWidth="1"/>
    <col min="12551" max="12551" width="17" style="5" customWidth="1"/>
    <col min="12552" max="12552" width="13.28515625" style="5" customWidth="1"/>
    <col min="12553" max="12553" width="14.7109375" style="5" customWidth="1"/>
    <col min="12554" max="12554" width="16.5703125" style="5" customWidth="1"/>
    <col min="12555" max="12555" width="63" style="5" customWidth="1"/>
    <col min="12556" max="12802" width="9.140625" style="5"/>
    <col min="12803" max="12803" width="22.140625" style="5" customWidth="1"/>
    <col min="12804" max="12805" width="15.7109375" style="5" customWidth="1"/>
    <col min="12806" max="12806" width="12.42578125" style="5" customWidth="1"/>
    <col min="12807" max="12807" width="17" style="5" customWidth="1"/>
    <col min="12808" max="12808" width="13.28515625" style="5" customWidth="1"/>
    <col min="12809" max="12809" width="14.7109375" style="5" customWidth="1"/>
    <col min="12810" max="12810" width="16.5703125" style="5" customWidth="1"/>
    <col min="12811" max="12811" width="63" style="5" customWidth="1"/>
    <col min="12812" max="13058" width="9.140625" style="5"/>
    <col min="13059" max="13059" width="22.140625" style="5" customWidth="1"/>
    <col min="13060" max="13061" width="15.7109375" style="5" customWidth="1"/>
    <col min="13062" max="13062" width="12.42578125" style="5" customWidth="1"/>
    <col min="13063" max="13063" width="17" style="5" customWidth="1"/>
    <col min="13064" max="13064" width="13.28515625" style="5" customWidth="1"/>
    <col min="13065" max="13065" width="14.7109375" style="5" customWidth="1"/>
    <col min="13066" max="13066" width="16.5703125" style="5" customWidth="1"/>
    <col min="13067" max="13067" width="63" style="5" customWidth="1"/>
    <col min="13068" max="13314" width="9.140625" style="5"/>
    <col min="13315" max="13315" width="22.140625" style="5" customWidth="1"/>
    <col min="13316" max="13317" width="15.7109375" style="5" customWidth="1"/>
    <col min="13318" max="13318" width="12.42578125" style="5" customWidth="1"/>
    <col min="13319" max="13319" width="17" style="5" customWidth="1"/>
    <col min="13320" max="13320" width="13.28515625" style="5" customWidth="1"/>
    <col min="13321" max="13321" width="14.7109375" style="5" customWidth="1"/>
    <col min="13322" max="13322" width="16.5703125" style="5" customWidth="1"/>
    <col min="13323" max="13323" width="63" style="5" customWidth="1"/>
    <col min="13324" max="13570" width="9.140625" style="5"/>
    <col min="13571" max="13571" width="22.140625" style="5" customWidth="1"/>
    <col min="13572" max="13573" width="15.7109375" style="5" customWidth="1"/>
    <col min="13574" max="13574" width="12.42578125" style="5" customWidth="1"/>
    <col min="13575" max="13575" width="17" style="5" customWidth="1"/>
    <col min="13576" max="13576" width="13.28515625" style="5" customWidth="1"/>
    <col min="13577" max="13577" width="14.7109375" style="5" customWidth="1"/>
    <col min="13578" max="13578" width="16.5703125" style="5" customWidth="1"/>
    <col min="13579" max="13579" width="63" style="5" customWidth="1"/>
    <col min="13580" max="13826" width="9.140625" style="5"/>
    <col min="13827" max="13827" width="22.140625" style="5" customWidth="1"/>
    <col min="13828" max="13829" width="15.7109375" style="5" customWidth="1"/>
    <col min="13830" max="13830" width="12.42578125" style="5" customWidth="1"/>
    <col min="13831" max="13831" width="17" style="5" customWidth="1"/>
    <col min="13832" max="13832" width="13.28515625" style="5" customWidth="1"/>
    <col min="13833" max="13833" width="14.7109375" style="5" customWidth="1"/>
    <col min="13834" max="13834" width="16.5703125" style="5" customWidth="1"/>
    <col min="13835" max="13835" width="63" style="5" customWidth="1"/>
    <col min="13836" max="14082" width="9.140625" style="5"/>
    <col min="14083" max="14083" width="22.140625" style="5" customWidth="1"/>
    <col min="14084" max="14085" width="15.7109375" style="5" customWidth="1"/>
    <col min="14086" max="14086" width="12.42578125" style="5" customWidth="1"/>
    <col min="14087" max="14087" width="17" style="5" customWidth="1"/>
    <col min="14088" max="14088" width="13.28515625" style="5" customWidth="1"/>
    <col min="14089" max="14089" width="14.7109375" style="5" customWidth="1"/>
    <col min="14090" max="14090" width="16.5703125" style="5" customWidth="1"/>
    <col min="14091" max="14091" width="63" style="5" customWidth="1"/>
    <col min="14092" max="14338" width="9.140625" style="5"/>
    <col min="14339" max="14339" width="22.140625" style="5" customWidth="1"/>
    <col min="14340" max="14341" width="15.7109375" style="5" customWidth="1"/>
    <col min="14342" max="14342" width="12.42578125" style="5" customWidth="1"/>
    <col min="14343" max="14343" width="17" style="5" customWidth="1"/>
    <col min="14344" max="14344" width="13.28515625" style="5" customWidth="1"/>
    <col min="14345" max="14345" width="14.7109375" style="5" customWidth="1"/>
    <col min="14346" max="14346" width="16.5703125" style="5" customWidth="1"/>
    <col min="14347" max="14347" width="63" style="5" customWidth="1"/>
    <col min="14348" max="14594" width="9.140625" style="5"/>
    <col min="14595" max="14595" width="22.140625" style="5" customWidth="1"/>
    <col min="14596" max="14597" width="15.7109375" style="5" customWidth="1"/>
    <col min="14598" max="14598" width="12.42578125" style="5" customWidth="1"/>
    <col min="14599" max="14599" width="17" style="5" customWidth="1"/>
    <col min="14600" max="14600" width="13.28515625" style="5" customWidth="1"/>
    <col min="14601" max="14601" width="14.7109375" style="5" customWidth="1"/>
    <col min="14602" max="14602" width="16.5703125" style="5" customWidth="1"/>
    <col min="14603" max="14603" width="63" style="5" customWidth="1"/>
    <col min="14604" max="14850" width="9.140625" style="5"/>
    <col min="14851" max="14851" width="22.140625" style="5" customWidth="1"/>
    <col min="14852" max="14853" width="15.7109375" style="5" customWidth="1"/>
    <col min="14854" max="14854" width="12.42578125" style="5" customWidth="1"/>
    <col min="14855" max="14855" width="17" style="5" customWidth="1"/>
    <col min="14856" max="14856" width="13.28515625" style="5" customWidth="1"/>
    <col min="14857" max="14857" width="14.7109375" style="5" customWidth="1"/>
    <col min="14858" max="14858" width="16.5703125" style="5" customWidth="1"/>
    <col min="14859" max="14859" width="63" style="5" customWidth="1"/>
    <col min="14860" max="15106" width="9.140625" style="5"/>
    <col min="15107" max="15107" width="22.140625" style="5" customWidth="1"/>
    <col min="15108" max="15109" width="15.7109375" style="5" customWidth="1"/>
    <col min="15110" max="15110" width="12.42578125" style="5" customWidth="1"/>
    <col min="15111" max="15111" width="17" style="5" customWidth="1"/>
    <col min="15112" max="15112" width="13.28515625" style="5" customWidth="1"/>
    <col min="15113" max="15113" width="14.7109375" style="5" customWidth="1"/>
    <col min="15114" max="15114" width="16.5703125" style="5" customWidth="1"/>
    <col min="15115" max="15115" width="63" style="5" customWidth="1"/>
    <col min="15116" max="15362" width="9.140625" style="5"/>
    <col min="15363" max="15363" width="22.140625" style="5" customWidth="1"/>
    <col min="15364" max="15365" width="15.7109375" style="5" customWidth="1"/>
    <col min="15366" max="15366" width="12.42578125" style="5" customWidth="1"/>
    <col min="15367" max="15367" width="17" style="5" customWidth="1"/>
    <col min="15368" max="15368" width="13.28515625" style="5" customWidth="1"/>
    <col min="15369" max="15369" width="14.7109375" style="5" customWidth="1"/>
    <col min="15370" max="15370" width="16.5703125" style="5" customWidth="1"/>
    <col min="15371" max="15371" width="63" style="5" customWidth="1"/>
    <col min="15372" max="15618" width="9.140625" style="5"/>
    <col min="15619" max="15619" width="22.140625" style="5" customWidth="1"/>
    <col min="15620" max="15621" width="15.7109375" style="5" customWidth="1"/>
    <col min="15622" max="15622" width="12.42578125" style="5" customWidth="1"/>
    <col min="15623" max="15623" width="17" style="5" customWidth="1"/>
    <col min="15624" max="15624" width="13.28515625" style="5" customWidth="1"/>
    <col min="15625" max="15625" width="14.7109375" style="5" customWidth="1"/>
    <col min="15626" max="15626" width="16.5703125" style="5" customWidth="1"/>
    <col min="15627" max="15627" width="63" style="5" customWidth="1"/>
    <col min="15628" max="15874" width="9.140625" style="5"/>
    <col min="15875" max="15875" width="22.140625" style="5" customWidth="1"/>
    <col min="15876" max="15877" width="15.7109375" style="5" customWidth="1"/>
    <col min="15878" max="15878" width="12.42578125" style="5" customWidth="1"/>
    <col min="15879" max="15879" width="17" style="5" customWidth="1"/>
    <col min="15880" max="15880" width="13.28515625" style="5" customWidth="1"/>
    <col min="15881" max="15881" width="14.7109375" style="5" customWidth="1"/>
    <col min="15882" max="15882" width="16.5703125" style="5" customWidth="1"/>
    <col min="15883" max="15883" width="63" style="5" customWidth="1"/>
    <col min="15884" max="16130" width="9.140625" style="5"/>
    <col min="16131" max="16131" width="22.140625" style="5" customWidth="1"/>
    <col min="16132" max="16133" width="15.7109375" style="5" customWidth="1"/>
    <col min="16134" max="16134" width="12.42578125" style="5" customWidth="1"/>
    <col min="16135" max="16135" width="17" style="5" customWidth="1"/>
    <col min="16136" max="16136" width="13.28515625" style="5" customWidth="1"/>
    <col min="16137" max="16137" width="14.7109375" style="5" customWidth="1"/>
    <col min="16138" max="16138" width="16.5703125" style="5" customWidth="1"/>
    <col min="16139" max="16139" width="63" style="5" customWidth="1"/>
    <col min="16140" max="16384" width="9.140625" style="5"/>
  </cols>
  <sheetData>
    <row r="1" spans="1:10" ht="21">
      <c r="A1" s="1" t="s">
        <v>0</v>
      </c>
      <c r="B1" s="2">
        <v>41416</v>
      </c>
      <c r="C1" s="3" t="s">
        <v>1</v>
      </c>
      <c r="D1" s="4">
        <v>32</v>
      </c>
      <c r="E1" s="5" t="s">
        <v>2</v>
      </c>
    </row>
    <row r="3" spans="1:10" s="8" customFormat="1" ht="30">
      <c r="A3" s="6" t="s">
        <v>3</v>
      </c>
      <c r="B3" s="7" t="s">
        <v>17</v>
      </c>
      <c r="C3" s="7" t="s">
        <v>4</v>
      </c>
      <c r="D3" s="7" t="s">
        <v>5</v>
      </c>
      <c r="E3" s="7" t="s">
        <v>19</v>
      </c>
      <c r="F3" s="6" t="s">
        <v>18</v>
      </c>
      <c r="G3" s="6" t="s">
        <v>6</v>
      </c>
      <c r="H3" s="6" t="s">
        <v>7</v>
      </c>
      <c r="I3" s="6" t="s">
        <v>8</v>
      </c>
    </row>
    <row r="4" spans="1:10" s="8" customFormat="1">
      <c r="A4" s="9" t="s">
        <v>40</v>
      </c>
      <c r="B4" s="22">
        <v>6</v>
      </c>
      <c r="C4" s="22">
        <v>29.87</v>
      </c>
      <c r="D4" s="22">
        <v>12.04</v>
      </c>
      <c r="E4" s="9">
        <f>C4*0.05</f>
        <v>1.4935</v>
      </c>
      <c r="F4" s="9">
        <f>C4+D4+E4</f>
        <v>43.403499999999994</v>
      </c>
      <c r="G4" s="15">
        <f t="shared" ref="G4" si="0">F4*$D$1</f>
        <v>1388.9119999999998</v>
      </c>
      <c r="H4" s="10">
        <v>1430</v>
      </c>
      <c r="I4" s="18">
        <f t="shared" ref="I4" si="1">-G4+H4</f>
        <v>41.088000000000193</v>
      </c>
    </row>
    <row r="5" spans="1:10" s="8" customFormat="1" ht="45">
      <c r="A5" s="9" t="s">
        <v>46</v>
      </c>
      <c r="B5" s="22">
        <v>4</v>
      </c>
      <c r="C5" s="22">
        <v>19.149999999999999</v>
      </c>
      <c r="D5" s="22">
        <f>B5*1.72</f>
        <v>6.88</v>
      </c>
      <c r="E5" s="9">
        <f>C5*0.05</f>
        <v>0.95750000000000002</v>
      </c>
      <c r="F5" s="9">
        <f>C5+D5+E5</f>
        <v>26.987499999999997</v>
      </c>
      <c r="G5" s="15">
        <f t="shared" ref="G5:G10" si="2">F5*$D$1</f>
        <v>863.59999999999991</v>
      </c>
      <c r="H5" s="10">
        <v>1013</v>
      </c>
      <c r="I5" s="18">
        <f>-G5+H5-140</f>
        <v>9.4000000000000909</v>
      </c>
      <c r="J5" s="40" t="s">
        <v>78</v>
      </c>
    </row>
    <row r="6" spans="1:10" s="8" customFormat="1">
      <c r="A6" s="9" t="s">
        <v>41</v>
      </c>
      <c r="B6" s="22">
        <v>8</v>
      </c>
      <c r="C6" s="22">
        <v>133.61000000000001</v>
      </c>
      <c r="D6" s="22">
        <v>13.76</v>
      </c>
      <c r="E6" s="9">
        <f t="shared" ref="E6:E10" si="3">C6*0.05</f>
        <v>6.6805000000000012</v>
      </c>
      <c r="F6" s="9">
        <f t="shared" ref="F6:F10" si="4">C6+D6+E6</f>
        <v>154.0505</v>
      </c>
      <c r="G6" s="21">
        <f t="shared" si="2"/>
        <v>4929.616</v>
      </c>
      <c r="H6" s="10">
        <v>4899</v>
      </c>
      <c r="I6" s="18">
        <f t="shared" ref="I6:I10" si="5">-G6+H6</f>
        <v>-30.615999999999985</v>
      </c>
    </row>
    <row r="7" spans="1:10" s="8" customFormat="1">
      <c r="A7" s="9" t="s">
        <v>42</v>
      </c>
      <c r="B7" s="22">
        <v>3</v>
      </c>
      <c r="C7" s="22">
        <v>11.48</v>
      </c>
      <c r="D7" s="22">
        <v>5.16</v>
      </c>
      <c r="E7" s="9">
        <f t="shared" si="3"/>
        <v>0.57400000000000007</v>
      </c>
      <c r="F7" s="9">
        <f t="shared" si="4"/>
        <v>17.214000000000002</v>
      </c>
      <c r="G7" s="21">
        <f t="shared" si="2"/>
        <v>550.84800000000007</v>
      </c>
      <c r="H7" s="10">
        <v>550</v>
      </c>
      <c r="I7" s="18">
        <f t="shared" si="5"/>
        <v>-0.84800000000007003</v>
      </c>
    </row>
    <row r="8" spans="1:10" s="8" customFormat="1">
      <c r="A8" s="9" t="s">
        <v>35</v>
      </c>
      <c r="B8" s="22">
        <v>2</v>
      </c>
      <c r="C8" s="22">
        <v>9.4600000000000009</v>
      </c>
      <c r="D8" s="22">
        <v>3.44</v>
      </c>
      <c r="E8" s="9">
        <f t="shared" si="3"/>
        <v>0.47300000000000009</v>
      </c>
      <c r="F8" s="9">
        <f t="shared" si="4"/>
        <v>13.373000000000001</v>
      </c>
      <c r="G8" s="21">
        <f t="shared" si="2"/>
        <v>427.93600000000004</v>
      </c>
      <c r="H8" s="10">
        <v>57</v>
      </c>
      <c r="I8" s="18">
        <f t="shared" si="5"/>
        <v>-370.93600000000004</v>
      </c>
    </row>
    <row r="9" spans="1:10" s="8" customFormat="1">
      <c r="A9" s="9" t="s">
        <v>21</v>
      </c>
      <c r="B9" s="22">
        <v>8</v>
      </c>
      <c r="C9" s="22">
        <v>43.45</v>
      </c>
      <c r="D9" s="22">
        <v>13.76</v>
      </c>
      <c r="E9" s="9">
        <f t="shared" si="3"/>
        <v>2.1725000000000003</v>
      </c>
      <c r="F9" s="9">
        <f t="shared" si="4"/>
        <v>59.3825</v>
      </c>
      <c r="G9" s="21">
        <f t="shared" si="2"/>
        <v>1900.24</v>
      </c>
      <c r="H9" s="10">
        <v>1888</v>
      </c>
      <c r="I9" s="18">
        <f t="shared" si="5"/>
        <v>-12.240000000000009</v>
      </c>
    </row>
    <row r="10" spans="1:10" s="8" customFormat="1">
      <c r="A10" s="9" t="s">
        <v>23</v>
      </c>
      <c r="B10" s="22">
        <v>10</v>
      </c>
      <c r="C10" s="22">
        <v>36.1</v>
      </c>
      <c r="D10" s="22">
        <v>17.2</v>
      </c>
      <c r="E10" s="9">
        <f t="shared" si="3"/>
        <v>1.8050000000000002</v>
      </c>
      <c r="F10" s="9">
        <f t="shared" si="4"/>
        <v>55.104999999999997</v>
      </c>
      <c r="G10" s="21">
        <f t="shared" si="2"/>
        <v>1763.36</v>
      </c>
      <c r="H10" s="10">
        <v>1804</v>
      </c>
      <c r="I10" s="18">
        <f t="shared" si="5"/>
        <v>40.6400000000001</v>
      </c>
    </row>
    <row r="11" spans="1:10">
      <c r="A11" s="11"/>
      <c r="B11" s="11"/>
      <c r="C11" s="11"/>
      <c r="D11" s="11"/>
      <c r="E11" s="11"/>
      <c r="F11" s="11"/>
      <c r="G11" s="11"/>
      <c r="H11" s="11"/>
      <c r="I11" s="11"/>
    </row>
    <row r="15" spans="1:10" ht="26.25">
      <c r="A15" s="27" t="s">
        <v>47</v>
      </c>
    </row>
    <row r="16" spans="1:10">
      <c r="A16" s="26" t="s">
        <v>35</v>
      </c>
      <c r="B16" s="12"/>
    </row>
    <row r="17" spans="1:2">
      <c r="A17" s="28" t="s">
        <v>48</v>
      </c>
      <c r="B17" s="12"/>
    </row>
    <row r="18" spans="1:2">
      <c r="A18" s="28" t="s">
        <v>49</v>
      </c>
      <c r="B18" s="12"/>
    </row>
  </sheetData>
  <hyperlinks>
    <hyperlink ref="A16" r:id="rId1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FF0000"/>
  </sheetPr>
  <dimension ref="A1:J20"/>
  <sheetViews>
    <sheetView workbookViewId="0">
      <selection activeCell="H11" sqref="H11"/>
    </sheetView>
  </sheetViews>
  <sheetFormatPr defaultRowHeight="15"/>
  <cols>
    <col min="1" max="1" width="16.7109375" customWidth="1"/>
    <col min="2" max="2" width="15.7109375" customWidth="1"/>
    <col min="4" max="4" width="11.7109375" customWidth="1"/>
    <col min="6" max="6" width="11" customWidth="1"/>
    <col min="10" max="10" width="20.5703125" customWidth="1"/>
  </cols>
  <sheetData>
    <row r="1" spans="1:10" s="5" customFormat="1" ht="21">
      <c r="A1" s="1" t="s">
        <v>0</v>
      </c>
      <c r="B1" s="2">
        <v>41425</v>
      </c>
      <c r="C1" s="3" t="s">
        <v>1</v>
      </c>
      <c r="D1" s="4">
        <v>31.8</v>
      </c>
      <c r="E1" s="5" t="s">
        <v>2</v>
      </c>
    </row>
    <row r="2" spans="1:10" s="5" customFormat="1"/>
    <row r="3" spans="1:10" s="8" customFormat="1" ht="45">
      <c r="A3" s="6" t="s">
        <v>3</v>
      </c>
      <c r="B3" s="7" t="s">
        <v>17</v>
      </c>
      <c r="C3" s="7" t="s">
        <v>4</v>
      </c>
      <c r="D3" s="7" t="s">
        <v>5</v>
      </c>
      <c r="E3" s="7" t="s">
        <v>19</v>
      </c>
      <c r="F3" s="6" t="s">
        <v>18</v>
      </c>
      <c r="G3" s="6" t="s">
        <v>6</v>
      </c>
      <c r="H3" s="6" t="s">
        <v>7</v>
      </c>
      <c r="I3" s="6" t="s">
        <v>8</v>
      </c>
    </row>
    <row r="4" spans="1:10" s="8" customFormat="1" ht="30">
      <c r="A4" s="9" t="s">
        <v>34</v>
      </c>
      <c r="B4" s="29">
        <v>1</v>
      </c>
      <c r="C4" s="29">
        <v>6.25</v>
      </c>
      <c r="D4" s="29">
        <v>4.3</v>
      </c>
      <c r="E4" s="9">
        <f>C4*0.05</f>
        <v>0.3125</v>
      </c>
      <c r="F4" s="9">
        <f>C4+D4+E4</f>
        <v>10.862500000000001</v>
      </c>
      <c r="G4" s="15">
        <f t="shared" ref="G4:G14" si="0">F4*$D$1</f>
        <v>345.42750000000001</v>
      </c>
      <c r="H4" s="10">
        <v>365</v>
      </c>
      <c r="I4" s="18">
        <f>-G4+H4-5</f>
        <v>14.572499999999991</v>
      </c>
      <c r="J4" s="8" t="s">
        <v>68</v>
      </c>
    </row>
    <row r="5" spans="1:10" s="8" customFormat="1">
      <c r="A5" s="9" t="s">
        <v>22</v>
      </c>
      <c r="B5" s="22">
        <v>9</v>
      </c>
      <c r="C5" s="22">
        <v>48.89</v>
      </c>
      <c r="D5" s="22">
        <v>15.48</v>
      </c>
      <c r="E5" s="9">
        <f>C5*0.05</f>
        <v>2.4445000000000001</v>
      </c>
      <c r="F5" s="9">
        <f>C5+D5+E5</f>
        <v>66.81450000000001</v>
      </c>
      <c r="G5" s="15">
        <f t="shared" si="0"/>
        <v>2124.7011000000002</v>
      </c>
      <c r="H5" s="10">
        <f>1500+500+125</f>
        <v>2125</v>
      </c>
      <c r="I5" s="18">
        <f t="shared" ref="I5:I14" si="1">-G5+H5</f>
        <v>0.2988999999997759</v>
      </c>
    </row>
    <row r="6" spans="1:10" s="8" customFormat="1">
      <c r="A6" s="9" t="s">
        <v>39</v>
      </c>
      <c r="B6" s="22">
        <v>3</v>
      </c>
      <c r="C6" s="22">
        <v>11.2</v>
      </c>
      <c r="D6" s="22">
        <v>5.16</v>
      </c>
      <c r="E6" s="9">
        <f t="shared" ref="E6:E11" si="2">C6*0.05</f>
        <v>0.55999999999999994</v>
      </c>
      <c r="F6" s="9">
        <f>C6+D6+E6</f>
        <v>16.919999999999998</v>
      </c>
      <c r="G6" s="15">
        <f t="shared" ref="G6:G11" si="3">F6*$D$1</f>
        <v>538.05599999999993</v>
      </c>
      <c r="H6" s="10">
        <v>544</v>
      </c>
      <c r="I6" s="18">
        <f t="shared" ref="I6:I11" si="4">-G6+H6</f>
        <v>5.9440000000000737</v>
      </c>
    </row>
    <row r="7" spans="1:10" s="8" customFormat="1">
      <c r="A7" s="9" t="s">
        <v>50</v>
      </c>
      <c r="B7" s="24">
        <v>1</v>
      </c>
      <c r="C7" s="24">
        <v>7.2</v>
      </c>
      <c r="D7" s="22">
        <v>3.44</v>
      </c>
      <c r="E7" s="9">
        <f t="shared" si="2"/>
        <v>0.36000000000000004</v>
      </c>
      <c r="F7" s="9">
        <f t="shared" ref="F7:F14" si="5">C7+D7+E7</f>
        <v>11</v>
      </c>
      <c r="G7" s="15">
        <f t="shared" si="3"/>
        <v>349.8</v>
      </c>
      <c r="H7" s="10">
        <v>354</v>
      </c>
      <c r="I7" s="18">
        <f t="shared" si="4"/>
        <v>4.1999999999999886</v>
      </c>
    </row>
    <row r="8" spans="1:10" s="8" customFormat="1">
      <c r="A8" s="9" t="s">
        <v>51</v>
      </c>
      <c r="B8" s="22">
        <v>4</v>
      </c>
      <c r="C8" s="22">
        <v>14.9</v>
      </c>
      <c r="D8" s="22">
        <v>5.16</v>
      </c>
      <c r="E8" s="9">
        <f t="shared" si="2"/>
        <v>0.74500000000000011</v>
      </c>
      <c r="F8" s="9">
        <f t="shared" si="5"/>
        <v>20.805000000000003</v>
      </c>
      <c r="G8" s="15">
        <f t="shared" si="3"/>
        <v>661.59900000000016</v>
      </c>
      <c r="H8" s="10">
        <v>670</v>
      </c>
      <c r="I8" s="18">
        <f t="shared" si="4"/>
        <v>8.4009999999998399</v>
      </c>
    </row>
    <row r="9" spans="1:10" s="8" customFormat="1">
      <c r="A9" s="9" t="s">
        <v>37</v>
      </c>
      <c r="B9" s="24">
        <v>1</v>
      </c>
      <c r="C9" s="24">
        <v>6.8</v>
      </c>
      <c r="D9" s="22">
        <v>1.72</v>
      </c>
      <c r="E9" s="9">
        <f t="shared" si="2"/>
        <v>0.34</v>
      </c>
      <c r="F9" s="9">
        <f t="shared" si="5"/>
        <v>8.86</v>
      </c>
      <c r="G9" s="15">
        <f t="shared" si="3"/>
        <v>281.74799999999999</v>
      </c>
      <c r="H9" s="10">
        <v>297</v>
      </c>
      <c r="I9" s="18">
        <f t="shared" si="4"/>
        <v>15.25200000000001</v>
      </c>
    </row>
    <row r="10" spans="1:10" s="8" customFormat="1">
      <c r="A10" s="9" t="s">
        <v>11</v>
      </c>
      <c r="B10" s="24">
        <v>2</v>
      </c>
      <c r="C10" s="24">
        <v>9.9499999999999993</v>
      </c>
      <c r="D10" s="22">
        <v>3.44</v>
      </c>
      <c r="E10" s="9">
        <f t="shared" si="2"/>
        <v>0.4975</v>
      </c>
      <c r="F10" s="9">
        <f>C10+D10+E10</f>
        <v>13.887499999999999</v>
      </c>
      <c r="G10" s="15">
        <f t="shared" si="3"/>
        <v>441.6225</v>
      </c>
      <c r="H10" s="10">
        <v>442</v>
      </c>
      <c r="I10" s="18">
        <f t="shared" si="4"/>
        <v>0.37749999999999773</v>
      </c>
    </row>
    <row r="11" spans="1:10" s="8" customFormat="1">
      <c r="A11" s="9" t="s">
        <v>24</v>
      </c>
      <c r="B11" s="22">
        <v>6</v>
      </c>
      <c r="C11" s="22">
        <v>28.93</v>
      </c>
      <c r="D11" s="22">
        <v>15.48</v>
      </c>
      <c r="E11" s="9">
        <f t="shared" si="2"/>
        <v>1.4465000000000001</v>
      </c>
      <c r="F11" s="9">
        <f t="shared" si="5"/>
        <v>45.856499999999997</v>
      </c>
      <c r="G11" s="15">
        <f t="shared" si="3"/>
        <v>1458.2366999999999</v>
      </c>
      <c r="H11" s="10">
        <v>1500</v>
      </c>
      <c r="I11" s="18">
        <f t="shared" si="4"/>
        <v>41.763300000000072</v>
      </c>
    </row>
    <row r="12" spans="1:10" s="8" customFormat="1">
      <c r="A12" s="9" t="s">
        <v>52</v>
      </c>
      <c r="B12" s="22">
        <v>5</v>
      </c>
      <c r="C12" s="22">
        <v>29.34</v>
      </c>
      <c r="D12" s="22">
        <v>8.6</v>
      </c>
      <c r="E12" s="9">
        <f t="shared" ref="E12" si="6">C12*0.05</f>
        <v>1.4670000000000001</v>
      </c>
      <c r="F12" s="9">
        <f t="shared" si="5"/>
        <v>39.406999999999996</v>
      </c>
      <c r="G12" s="15">
        <f>F12*$D$1</f>
        <v>1253.1425999999999</v>
      </c>
      <c r="H12" s="10">
        <v>1270</v>
      </c>
      <c r="I12" s="18">
        <f t="shared" si="1"/>
        <v>16.857400000000098</v>
      </c>
    </row>
    <row r="13" spans="1:10" s="8" customFormat="1">
      <c r="A13" s="9" t="s">
        <v>53</v>
      </c>
      <c r="B13" s="22">
        <v>3</v>
      </c>
      <c r="C13" s="22">
        <v>8.9700000000000006</v>
      </c>
      <c r="D13" s="22">
        <v>5.16</v>
      </c>
      <c r="E13" s="9">
        <f>D13*0.05</f>
        <v>0.25800000000000001</v>
      </c>
      <c r="F13" s="9">
        <f t="shared" si="5"/>
        <v>14.388000000000002</v>
      </c>
      <c r="G13" s="15">
        <f t="shared" si="0"/>
        <v>457.53840000000008</v>
      </c>
      <c r="H13" s="10">
        <v>470</v>
      </c>
      <c r="I13" s="18">
        <f t="shared" si="1"/>
        <v>12.461599999999919</v>
      </c>
    </row>
    <row r="14" spans="1:10" s="8" customFormat="1">
      <c r="A14" s="9" t="s">
        <v>41</v>
      </c>
      <c r="B14" s="30">
        <v>3</v>
      </c>
      <c r="C14" s="22">
        <v>24.45</v>
      </c>
      <c r="D14" s="22">
        <v>0.16</v>
      </c>
      <c r="E14" s="9">
        <f>D14*0.05</f>
        <v>8.0000000000000002E-3</v>
      </c>
      <c r="F14" s="9">
        <f t="shared" si="5"/>
        <v>24.617999999999999</v>
      </c>
      <c r="G14" s="15">
        <f t="shared" si="0"/>
        <v>782.85239999999999</v>
      </c>
      <c r="H14" s="10">
        <f>703+90</f>
        <v>793</v>
      </c>
      <c r="I14" s="18">
        <f t="shared" si="1"/>
        <v>10.147600000000011</v>
      </c>
    </row>
    <row r="15" spans="1:10" s="5" customFormat="1">
      <c r="A15" s="11"/>
      <c r="B15" s="11"/>
      <c r="C15" s="11"/>
      <c r="D15" s="11"/>
      <c r="E15" s="11"/>
      <c r="F15" s="11"/>
      <c r="G15" s="11"/>
      <c r="H15" s="11"/>
      <c r="I15" s="11"/>
    </row>
    <row r="16" spans="1:10" s="5" customFormat="1"/>
    <row r="17" spans="1:9" s="5" customFormat="1"/>
    <row r="18" spans="1:9" s="5" customFormat="1">
      <c r="A18" s="13"/>
    </row>
    <row r="19" spans="1:9">
      <c r="A19" s="13"/>
      <c r="B19" s="5"/>
      <c r="C19" s="5"/>
      <c r="D19" s="5"/>
      <c r="E19" s="5"/>
      <c r="F19" s="5"/>
      <c r="G19" s="5"/>
      <c r="H19" s="5"/>
      <c r="I19" s="5"/>
    </row>
    <row r="20" spans="1:9">
      <c r="A20" s="13"/>
      <c r="B20" s="5"/>
      <c r="C20" s="5"/>
      <c r="D20" s="5"/>
      <c r="E20" s="5"/>
      <c r="F20" s="5"/>
      <c r="G20" s="5"/>
      <c r="H20" s="5"/>
      <c r="I20" s="5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FF0000"/>
  </sheetPr>
  <dimension ref="A1:J28"/>
  <sheetViews>
    <sheetView workbookViewId="0">
      <selection activeCell="J7" sqref="J7"/>
    </sheetView>
  </sheetViews>
  <sheetFormatPr defaultRowHeight="15"/>
  <cols>
    <col min="1" max="1" width="16.7109375" customWidth="1"/>
    <col min="2" max="2" width="15.7109375" customWidth="1"/>
    <col min="3" max="3" width="12.140625" customWidth="1"/>
    <col min="4" max="4" width="11.7109375" customWidth="1"/>
    <col min="6" max="6" width="11" customWidth="1"/>
  </cols>
  <sheetData>
    <row r="1" spans="1:10" s="5" customFormat="1" ht="21">
      <c r="A1" s="1" t="s">
        <v>0</v>
      </c>
      <c r="B1" s="2">
        <v>41432</v>
      </c>
      <c r="C1" s="3" t="s">
        <v>1</v>
      </c>
      <c r="D1" s="4">
        <v>32.24</v>
      </c>
      <c r="E1" s="5" t="s">
        <v>2</v>
      </c>
      <c r="F1" s="32" t="s">
        <v>59</v>
      </c>
    </row>
    <row r="2" spans="1:10" s="5" customFormat="1"/>
    <row r="3" spans="1:10" s="8" customFormat="1" ht="30">
      <c r="A3" s="6" t="s">
        <v>3</v>
      </c>
      <c r="B3" s="7" t="s">
        <v>17</v>
      </c>
      <c r="C3" s="7" t="s">
        <v>4</v>
      </c>
      <c r="D3" s="7" t="s">
        <v>5</v>
      </c>
      <c r="E3" s="7" t="s">
        <v>19</v>
      </c>
      <c r="F3" s="6" t="s">
        <v>18</v>
      </c>
      <c r="G3" s="6" t="s">
        <v>6</v>
      </c>
      <c r="H3" s="6" t="s">
        <v>7</v>
      </c>
      <c r="I3" s="6" t="s">
        <v>8</v>
      </c>
    </row>
    <row r="4" spans="1:10" s="8" customFormat="1">
      <c r="A4" s="9" t="s">
        <v>55</v>
      </c>
      <c r="B4" s="29">
        <v>2</v>
      </c>
      <c r="C4" s="29">
        <v>16</v>
      </c>
      <c r="D4" s="29">
        <f>2.04*B4</f>
        <v>4.08</v>
      </c>
      <c r="E4" s="9">
        <f>C4*0.05</f>
        <v>0.8</v>
      </c>
      <c r="F4" s="9">
        <f>C4+D4+E4</f>
        <v>20.88</v>
      </c>
      <c r="G4" s="15">
        <f>F4*$D$1</f>
        <v>673.1712</v>
      </c>
      <c r="H4" s="10">
        <v>664</v>
      </c>
      <c r="I4" s="18">
        <f t="shared" ref="I4:I11" si="0">-G4+H4</f>
        <v>-9.1711999999999989</v>
      </c>
    </row>
    <row r="5" spans="1:10" s="8" customFormat="1">
      <c r="A5" s="9" t="s">
        <v>15</v>
      </c>
      <c r="B5" s="22">
        <v>0</v>
      </c>
      <c r="C5" s="22">
        <v>0</v>
      </c>
      <c r="D5" s="29">
        <f t="shared" ref="D5:D12" si="1">2.04*B5</f>
        <v>0</v>
      </c>
      <c r="E5" s="9">
        <f>C5*0.05</f>
        <v>0</v>
      </c>
      <c r="F5" s="9">
        <f>C5+D5+E5</f>
        <v>0</v>
      </c>
      <c r="G5" s="15">
        <f t="shared" ref="G5:G11" si="2">F5*$D$1</f>
        <v>0</v>
      </c>
      <c r="H5" s="10">
        <f>90</f>
        <v>90</v>
      </c>
      <c r="I5" s="18">
        <f t="shared" si="0"/>
        <v>90</v>
      </c>
    </row>
    <row r="6" spans="1:10" s="8" customFormat="1">
      <c r="A6" s="9" t="s">
        <v>22</v>
      </c>
      <c r="B6" s="22">
        <v>7</v>
      </c>
      <c r="C6" s="22">
        <v>50.47</v>
      </c>
      <c r="D6" s="29">
        <f t="shared" si="1"/>
        <v>14.280000000000001</v>
      </c>
      <c r="E6" s="9">
        <f t="shared" ref="E6:E11" si="3">C6*0.05</f>
        <v>2.5235000000000003</v>
      </c>
      <c r="F6" s="9">
        <f>C6+D6+E6</f>
        <v>67.273499999999999</v>
      </c>
      <c r="G6" s="15">
        <f t="shared" si="2"/>
        <v>2168.8976400000001</v>
      </c>
      <c r="H6" s="10">
        <v>2995</v>
      </c>
      <c r="I6" s="18">
        <f t="shared" si="0"/>
        <v>826.10235999999986</v>
      </c>
    </row>
    <row r="7" spans="1:10" s="8" customFormat="1" ht="75">
      <c r="A7" s="9" t="s">
        <v>56</v>
      </c>
      <c r="B7" s="24">
        <v>5</v>
      </c>
      <c r="C7" s="24">
        <v>39.5</v>
      </c>
      <c r="D7" s="29">
        <f t="shared" si="1"/>
        <v>10.199999999999999</v>
      </c>
      <c r="E7" s="9">
        <f t="shared" si="3"/>
        <v>1.9750000000000001</v>
      </c>
      <c r="F7" s="9">
        <f t="shared" ref="F7:F11" si="4">C7+D7+E7</f>
        <v>51.675000000000004</v>
      </c>
      <c r="G7" s="15">
        <f t="shared" si="2"/>
        <v>1666.0020000000002</v>
      </c>
      <c r="H7" s="10">
        <f>107+1873</f>
        <v>1980</v>
      </c>
      <c r="I7" s="18">
        <f>-G7+H7-238</f>
        <v>75.99799999999982</v>
      </c>
      <c r="J7" s="43" t="s">
        <v>92</v>
      </c>
    </row>
    <row r="8" spans="1:10" s="8" customFormat="1">
      <c r="A8" s="9" t="s">
        <v>41</v>
      </c>
      <c r="B8" s="22">
        <v>3</v>
      </c>
      <c r="C8" s="22">
        <v>47.85</v>
      </c>
      <c r="D8" s="29">
        <f t="shared" si="1"/>
        <v>6.12</v>
      </c>
      <c r="E8" s="9">
        <f t="shared" si="3"/>
        <v>2.3925000000000001</v>
      </c>
      <c r="F8" s="9">
        <f t="shared" si="4"/>
        <v>56.362499999999997</v>
      </c>
      <c r="G8" s="15">
        <f t="shared" si="2"/>
        <v>1817.127</v>
      </c>
      <c r="H8" s="10">
        <v>1839</v>
      </c>
      <c r="I8" s="18">
        <f t="shared" si="0"/>
        <v>21.873000000000047</v>
      </c>
    </row>
    <row r="9" spans="1:10" s="8" customFormat="1">
      <c r="A9" s="9" t="s">
        <v>45</v>
      </c>
      <c r="B9" s="24">
        <v>2</v>
      </c>
      <c r="C9" s="24">
        <v>17</v>
      </c>
      <c r="D9" s="29">
        <f t="shared" si="1"/>
        <v>4.08</v>
      </c>
      <c r="E9" s="9">
        <f t="shared" si="3"/>
        <v>0.85000000000000009</v>
      </c>
      <c r="F9" s="9">
        <f t="shared" si="4"/>
        <v>21.93</v>
      </c>
      <c r="G9" s="15">
        <f t="shared" si="2"/>
        <v>707.02320000000009</v>
      </c>
      <c r="H9" s="10">
        <v>698</v>
      </c>
      <c r="I9" s="18">
        <f t="shared" si="0"/>
        <v>-9.023200000000088</v>
      </c>
    </row>
    <row r="10" spans="1:10" s="8" customFormat="1">
      <c r="A10" s="9" t="s">
        <v>57</v>
      </c>
      <c r="B10" s="24">
        <v>2</v>
      </c>
      <c r="C10" s="24">
        <v>16.5</v>
      </c>
      <c r="D10" s="29">
        <f t="shared" si="1"/>
        <v>4.08</v>
      </c>
      <c r="E10" s="9">
        <f t="shared" si="3"/>
        <v>0.82500000000000007</v>
      </c>
      <c r="F10" s="9">
        <f>C10+D10+E10</f>
        <v>21.404999999999998</v>
      </c>
      <c r="G10" s="15">
        <f t="shared" si="2"/>
        <v>690.09719999999993</v>
      </c>
      <c r="H10" s="10">
        <v>706</v>
      </c>
      <c r="I10" s="18">
        <f t="shared" si="0"/>
        <v>15.90280000000007</v>
      </c>
    </row>
    <row r="11" spans="1:10" s="8" customFormat="1">
      <c r="A11" s="9" t="s">
        <v>58</v>
      </c>
      <c r="B11" s="22">
        <v>3</v>
      </c>
      <c r="C11" s="22">
        <v>21.95</v>
      </c>
      <c r="D11" s="29">
        <f t="shared" si="1"/>
        <v>6.12</v>
      </c>
      <c r="E11" s="9">
        <f t="shared" si="3"/>
        <v>1.0974999999999999</v>
      </c>
      <c r="F11" s="9">
        <f t="shared" si="4"/>
        <v>29.1675</v>
      </c>
      <c r="G11" s="15">
        <f t="shared" si="2"/>
        <v>940.36020000000008</v>
      </c>
      <c r="H11" s="10">
        <f>825+100</f>
        <v>925</v>
      </c>
      <c r="I11" s="18">
        <f t="shared" si="0"/>
        <v>-15.360200000000077</v>
      </c>
    </row>
    <row r="12" spans="1:10" s="8" customFormat="1">
      <c r="A12" s="9" t="s">
        <v>10</v>
      </c>
      <c r="B12" s="22">
        <v>4</v>
      </c>
      <c r="C12" s="22">
        <v>43.9</v>
      </c>
      <c r="D12" s="29">
        <f t="shared" si="1"/>
        <v>8.16</v>
      </c>
      <c r="E12" s="11"/>
      <c r="F12" s="11"/>
      <c r="G12" s="11"/>
      <c r="H12" s="11"/>
      <c r="I12" s="11"/>
    </row>
    <row r="13" spans="1:10" s="5" customFormat="1">
      <c r="A13" s="11"/>
      <c r="B13" s="11"/>
      <c r="C13" s="11"/>
      <c r="D13" s="11"/>
      <c r="E13" s="11"/>
      <c r="F13" s="11"/>
      <c r="G13" s="11"/>
      <c r="H13" s="11"/>
      <c r="I13" s="11"/>
    </row>
    <row r="14" spans="1:10" s="5" customFormat="1"/>
    <row r="15" spans="1:10" s="5" customFormat="1">
      <c r="A15" s="33" t="s">
        <v>62</v>
      </c>
    </row>
    <row r="16" spans="1:10" s="5" customFormat="1">
      <c r="A16" s="33" t="s">
        <v>63</v>
      </c>
    </row>
    <row r="17" spans="1:9" s="5" customFormat="1">
      <c r="A17" s="33" t="s">
        <v>61</v>
      </c>
    </row>
    <row r="18" spans="1:9">
      <c r="A18" s="13"/>
      <c r="B18" s="5"/>
      <c r="C18" s="5"/>
      <c r="D18" s="5"/>
      <c r="E18" s="5"/>
      <c r="F18" s="5"/>
      <c r="G18" s="5"/>
      <c r="H18" s="5"/>
      <c r="I18" s="5"/>
    </row>
    <row r="19" spans="1:9">
      <c r="A19" s="13"/>
      <c r="B19" s="5"/>
      <c r="C19" s="5"/>
      <c r="D19" s="5"/>
      <c r="E19" s="5"/>
      <c r="F19" s="5"/>
      <c r="G19" s="5"/>
      <c r="H19" s="5"/>
      <c r="I19" s="5"/>
    </row>
    <row r="22" spans="1:9">
      <c r="A22" s="38" t="s">
        <v>65</v>
      </c>
    </row>
    <row r="23" spans="1:9" ht="21">
      <c r="A23" s="36" t="s">
        <v>22</v>
      </c>
      <c r="B23" s="34"/>
    </row>
    <row r="24" spans="1:9">
      <c r="A24" s="37" t="s">
        <v>67</v>
      </c>
      <c r="B24" s="35" t="s">
        <v>66</v>
      </c>
    </row>
    <row r="26" spans="1:9">
      <c r="A26" s="39" t="s">
        <v>75</v>
      </c>
    </row>
    <row r="27" spans="1:9">
      <c r="A27" t="s">
        <v>76</v>
      </c>
    </row>
    <row r="28" spans="1:9">
      <c r="A28" t="s">
        <v>77</v>
      </c>
    </row>
  </sheetData>
  <hyperlinks>
    <hyperlink ref="B24" r:id="rId1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23</vt:i4>
      </vt:variant>
    </vt:vector>
  </HeadingPairs>
  <TitlesOfParts>
    <vt:vector size="23" baseType="lpstr">
      <vt:lpstr>баланс</vt:lpstr>
      <vt:lpstr>1</vt:lpstr>
      <vt:lpstr>2</vt:lpstr>
      <vt:lpstr>3</vt:lpstr>
      <vt:lpstr>4</vt:lpstr>
      <vt:lpstr>5</vt:lpstr>
      <vt:lpstr>6</vt:lpstr>
      <vt:lpstr>7</vt:lpstr>
      <vt:lpstr>8N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2015-04-26T05:12:27Z</dcterms:modified>
</cp:coreProperties>
</file>