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0" windowWidth="16215" windowHeight="12915" tabRatio="921" activeTab="0"/>
  </bookViews>
  <sheets>
    <sheet name="баланс-ито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  <sheet name="55" sheetId="55" r:id="rId55"/>
    <sheet name="56" sheetId="56" r:id="rId56"/>
    <sheet name="57" sheetId="57" r:id="rId57"/>
    <sheet name="58" sheetId="58" r:id="rId58"/>
    <sheet name="59" sheetId="59" r:id="rId59"/>
    <sheet name="60" sheetId="60" r:id="rId60"/>
    <sheet name="61" sheetId="61" r:id="rId61"/>
    <sheet name="62" sheetId="62" r:id="rId62"/>
    <sheet name="63" sheetId="63" r:id="rId63"/>
    <sheet name="64" sheetId="64" r:id="rId64"/>
    <sheet name="65" sheetId="65" r:id="rId65"/>
    <sheet name="66" sheetId="66" r:id="rId66"/>
    <sheet name="67" sheetId="67" r:id="rId67"/>
    <sheet name="68" sheetId="68" r:id="rId68"/>
    <sheet name="69" sheetId="69" r:id="rId69"/>
    <sheet name="70" sheetId="70" r:id="rId70"/>
    <sheet name="71" sheetId="71" r:id="rId71"/>
    <sheet name="72" sheetId="72" r:id="rId72"/>
    <sheet name="73" sheetId="73" r:id="rId73"/>
    <sheet name="74" sheetId="74" r:id="rId74"/>
    <sheet name="75" sheetId="75" r:id="rId75"/>
    <sheet name="76" sheetId="76" r:id="rId76"/>
    <sheet name="77" sheetId="77" r:id="rId77"/>
    <sheet name="78" sheetId="78" r:id="rId78"/>
    <sheet name="79" sheetId="79" r:id="rId79"/>
    <sheet name="80" sheetId="80" r:id="rId80"/>
    <sheet name="81" sheetId="81" r:id="rId81"/>
    <sheet name="82" sheetId="82" r:id="rId82"/>
    <sheet name="83" sheetId="83" r:id="rId83"/>
    <sheet name="84" sheetId="84" r:id="rId84"/>
    <sheet name="85" sheetId="85" r:id="rId85"/>
    <sheet name="86" sheetId="86" r:id="rId86"/>
    <sheet name="87" sheetId="87" r:id="rId87"/>
    <sheet name="88" sheetId="88" r:id="rId88"/>
    <sheet name="89" sheetId="89" r:id="rId89"/>
    <sheet name="90" sheetId="90" r:id="rId90"/>
    <sheet name="91" sheetId="91" r:id="rId91"/>
    <sheet name="92" sheetId="92" r:id="rId92"/>
    <sheet name="93" sheetId="93" r:id="rId93"/>
    <sheet name="94" sheetId="94" r:id="rId94"/>
    <sheet name="95" sheetId="95" r:id="rId95"/>
    <sheet name="96" sheetId="96" r:id="rId96"/>
    <sheet name="97" sheetId="97" r:id="rId97"/>
    <sheet name="98" sheetId="98" r:id="rId98"/>
    <sheet name="99" sheetId="99" r:id="rId99"/>
    <sheet name="100" sheetId="100" r:id="rId100"/>
    <sheet name="101" sheetId="101" r:id="rId101"/>
    <sheet name="102" sheetId="102" r:id="rId102"/>
    <sheet name="103" sheetId="103" r:id="rId103"/>
    <sheet name="104" sheetId="104" r:id="rId104"/>
    <sheet name="105" sheetId="105" r:id="rId105"/>
    <sheet name="106" sheetId="106" r:id="rId106"/>
    <sheet name="107" sheetId="107" r:id="rId107"/>
    <sheet name="108" sheetId="108" r:id="rId108"/>
    <sheet name="109" sheetId="109" r:id="rId109"/>
    <sheet name="110" sheetId="110" r:id="rId110"/>
    <sheet name="111" sheetId="111" r:id="rId111"/>
    <sheet name="112" sheetId="112" r:id="rId112"/>
    <sheet name="113" sheetId="113" r:id="rId113"/>
    <sheet name="114" sheetId="114" r:id="rId114"/>
    <sheet name="115" sheetId="115" r:id="rId115"/>
    <sheet name="116" sheetId="116" r:id="rId116"/>
    <sheet name="117" sheetId="117" r:id="rId117"/>
    <sheet name="118" sheetId="118" r:id="rId118"/>
    <sheet name="119" sheetId="119" r:id="rId119"/>
    <sheet name="120" sheetId="120" r:id="rId120"/>
    <sheet name="121" sheetId="121" r:id="rId121"/>
    <sheet name="122" sheetId="122" r:id="rId122"/>
    <sheet name="123" sheetId="123" r:id="rId123"/>
    <sheet name="124" sheetId="124" r:id="rId124"/>
    <sheet name="125" sheetId="125" r:id="rId125"/>
    <sheet name="126" sheetId="126" r:id="rId126"/>
    <sheet name="127" sheetId="127" r:id="rId127"/>
    <sheet name="128" sheetId="128" r:id="rId128"/>
    <sheet name="129" sheetId="129" r:id="rId129"/>
    <sheet name="130" sheetId="130" r:id="rId130"/>
    <sheet name="131" sheetId="131" r:id="rId131"/>
    <sheet name="132" sheetId="132" r:id="rId132"/>
    <sheet name="133" sheetId="133" r:id="rId133"/>
    <sheet name="134" sheetId="134" r:id="rId134"/>
    <sheet name="135" sheetId="135" r:id="rId135"/>
    <sheet name="136" sheetId="136" r:id="rId136"/>
    <sheet name="137" sheetId="137" r:id="rId137"/>
    <sheet name="138" sheetId="138" r:id="rId138"/>
    <sheet name="139" sheetId="139" r:id="rId139"/>
    <sheet name="140" sheetId="140" r:id="rId140"/>
    <sheet name="141" sheetId="141" r:id="rId141"/>
    <sheet name="142" sheetId="142" r:id="rId142"/>
    <sheet name="143" sheetId="143" r:id="rId143"/>
    <sheet name="144" sheetId="144" r:id="rId144"/>
    <sheet name="145" sheetId="145" r:id="rId145"/>
    <sheet name="146" sheetId="146" r:id="rId146"/>
    <sheet name="147" sheetId="147" r:id="rId147"/>
    <sheet name="148" sheetId="148" r:id="rId148"/>
    <sheet name="149" sheetId="149" r:id="rId149"/>
    <sheet name="150" sheetId="150" r:id="rId150"/>
    <sheet name="151" sheetId="151" r:id="rId151"/>
    <sheet name="152" sheetId="152" r:id="rId152"/>
    <sheet name="153" sheetId="153" r:id="rId153"/>
    <sheet name="154" sheetId="154" r:id="rId154"/>
    <sheet name="155" sheetId="155" r:id="rId155"/>
    <sheet name="156" sheetId="156" r:id="rId156"/>
    <sheet name="157" sheetId="157" r:id="rId157"/>
    <sheet name="158" sheetId="158" r:id="rId158"/>
    <sheet name="159" sheetId="159" r:id="rId159"/>
    <sheet name="160" sheetId="160" r:id="rId160"/>
    <sheet name="161" sheetId="161" r:id="rId161"/>
    <sheet name="162" sheetId="162" r:id="rId162"/>
    <sheet name="163" sheetId="163" r:id="rId163"/>
    <sheet name="164" sheetId="164" r:id="rId164"/>
    <sheet name="165" sheetId="165" r:id="rId165"/>
    <sheet name="166" sheetId="166" r:id="rId166"/>
    <sheet name="167" sheetId="167" r:id="rId167"/>
    <sheet name="168" sheetId="168" r:id="rId168"/>
    <sheet name="169" sheetId="169" r:id="rId169"/>
    <sheet name="170" sheetId="170" r:id="rId170"/>
    <sheet name="171" sheetId="171" r:id="rId171"/>
    <sheet name="172" sheetId="172" r:id="rId172"/>
    <sheet name="173" sheetId="173" r:id="rId173"/>
    <sheet name="174" sheetId="174" r:id="rId174"/>
    <sheet name="175" sheetId="175" r:id="rId175"/>
    <sheet name="176" sheetId="176" r:id="rId176"/>
    <sheet name="177" sheetId="177" r:id="rId177"/>
    <sheet name="178" sheetId="178" r:id="rId178"/>
    <sheet name="179" sheetId="179" r:id="rId179"/>
    <sheet name="180" sheetId="180" r:id="rId180"/>
    <sheet name="181" sheetId="181" r:id="rId181"/>
    <sheet name="182" sheetId="182" r:id="rId182"/>
    <sheet name="183" sheetId="183" r:id="rId183"/>
    <sheet name="184" sheetId="184" r:id="rId184"/>
    <sheet name="185" sheetId="185" r:id="rId185"/>
    <sheet name="186" sheetId="186" r:id="rId186"/>
    <sheet name="187" sheetId="187" r:id="rId187"/>
    <sheet name="188" sheetId="188" r:id="rId188"/>
    <sheet name="189" sheetId="189" r:id="rId189"/>
    <sheet name="190" sheetId="190" r:id="rId190"/>
    <sheet name="191" sheetId="191" r:id="rId191"/>
    <sheet name="192" sheetId="192" r:id="rId192"/>
    <sheet name="193" sheetId="193" r:id="rId193"/>
    <sheet name="194" sheetId="194" r:id="rId194"/>
    <sheet name="195" sheetId="195" r:id="rId195"/>
    <sheet name="196" sheetId="196" r:id="rId196"/>
    <sheet name="197" sheetId="197" r:id="rId197"/>
    <sheet name="198" sheetId="198" r:id="rId198"/>
    <sheet name="199" sheetId="199" r:id="rId199"/>
    <sheet name="200" sheetId="200" r:id="rId200"/>
    <sheet name="201" sheetId="201" r:id="rId201"/>
    <sheet name="202" sheetId="202" r:id="rId202"/>
    <sheet name="203" sheetId="203" r:id="rId203"/>
    <sheet name="204" sheetId="204" r:id="rId204"/>
    <sheet name="205" sheetId="205" r:id="rId205"/>
    <sheet name="206" sheetId="206" r:id="rId206"/>
    <sheet name="207" sheetId="207" r:id="rId207"/>
    <sheet name="208" sheetId="208" r:id="rId208"/>
    <sheet name="209" sheetId="209" r:id="rId209"/>
    <sheet name="210" sheetId="210" r:id="rId210"/>
    <sheet name="211" sheetId="211" r:id="rId211"/>
    <sheet name="212" sheetId="212" r:id="rId212"/>
    <sheet name="213" sheetId="213" r:id="rId213"/>
    <sheet name="214" sheetId="214" r:id="rId214"/>
    <sheet name="215" sheetId="215" r:id="rId215"/>
    <sheet name="216" sheetId="216" r:id="rId216"/>
    <sheet name="217" sheetId="217" r:id="rId217"/>
    <sheet name="218" sheetId="218" r:id="rId218"/>
    <sheet name="219-220" sheetId="219" r:id="rId219"/>
    <sheet name="221" sheetId="220" r:id="rId220"/>
    <sheet name="222" sheetId="221" r:id="rId221"/>
    <sheet name="223" sheetId="222" r:id="rId222"/>
    <sheet name="224" sheetId="223" r:id="rId223"/>
    <sheet name="225" sheetId="224" r:id="rId224"/>
    <sheet name="226" sheetId="225" r:id="rId225"/>
    <sheet name="227" sheetId="226" r:id="rId226"/>
    <sheet name="228" sheetId="227" r:id="rId227"/>
    <sheet name="229" sheetId="228" r:id="rId228"/>
    <sheet name="230" sheetId="229" r:id="rId229"/>
    <sheet name="231" sheetId="230" r:id="rId230"/>
    <sheet name="232" sheetId="231" r:id="rId231"/>
    <sheet name="233" sheetId="232" r:id="rId232"/>
    <sheet name="234" sheetId="233" r:id="rId233"/>
    <sheet name="235" sheetId="234" r:id="rId234"/>
    <sheet name="236" sheetId="235" r:id="rId235"/>
    <sheet name="237" sheetId="236" r:id="rId236"/>
    <sheet name="238" sheetId="237" r:id="rId237"/>
    <sheet name="239" sheetId="238" r:id="rId238"/>
    <sheet name="240" sheetId="239" r:id="rId239"/>
    <sheet name="241" sheetId="240" r:id="rId240"/>
    <sheet name="242" sheetId="241" r:id="rId241"/>
    <sheet name="243" sheetId="242" r:id="rId242"/>
    <sheet name="244" sheetId="243" r:id="rId243"/>
    <sheet name="245" sheetId="244" r:id="rId244"/>
    <sheet name="246" sheetId="245" r:id="rId245"/>
    <sheet name="247" sheetId="246" r:id="rId246"/>
    <sheet name="248" sheetId="247" r:id="rId247"/>
    <sheet name="249" sheetId="248" r:id="rId248"/>
    <sheet name="250" sheetId="249" r:id="rId249"/>
    <sheet name="251" sheetId="250" r:id="rId250"/>
    <sheet name="252" sheetId="251" r:id="rId251"/>
    <sheet name="253" sheetId="252" r:id="rId252"/>
    <sheet name="254" sheetId="253" r:id="rId253"/>
    <sheet name="255" sheetId="254" r:id="rId254"/>
    <sheet name="256" sheetId="255" r:id="rId255"/>
    <sheet name="257" sheetId="256" r:id="rId256"/>
    <sheet name="258" sheetId="257" r:id="rId257"/>
    <sheet name="259" sheetId="258" r:id="rId258"/>
    <sheet name="260" sheetId="259" r:id="rId259"/>
    <sheet name="261" sheetId="260" r:id="rId260"/>
    <sheet name="262" sheetId="261" r:id="rId261"/>
    <sheet name="263" sheetId="262" r:id="rId262"/>
    <sheet name="264" sheetId="263" r:id="rId263"/>
    <sheet name="265" sheetId="264" r:id="rId264"/>
    <sheet name="266" sheetId="265" r:id="rId265"/>
    <sheet name="267" sheetId="266" r:id="rId266"/>
    <sheet name="268" sheetId="267" r:id="rId267"/>
    <sheet name="269" sheetId="268" r:id="rId268"/>
    <sheet name="270" sheetId="269" r:id="rId269"/>
    <sheet name="271" sheetId="270" r:id="rId270"/>
    <sheet name="272" sheetId="271" r:id="rId271"/>
    <sheet name="273" sheetId="272" r:id="rId272"/>
    <sheet name="274" sheetId="273" r:id="rId273"/>
    <sheet name="275" sheetId="274" r:id="rId274"/>
    <sheet name="276" sheetId="275" r:id="rId275"/>
    <sheet name="277" sheetId="276" r:id="rId276"/>
    <sheet name="278" sheetId="277" r:id="rId277"/>
    <sheet name="279" sheetId="278" r:id="rId278"/>
    <sheet name="280" sheetId="279" r:id="rId279"/>
    <sheet name="281" sheetId="280" r:id="rId280"/>
    <sheet name="282" sheetId="281" r:id="rId281"/>
    <sheet name="283" sheetId="282" r:id="rId282"/>
    <sheet name="284" sheetId="283" r:id="rId283"/>
    <sheet name="284.1" sheetId="284" r:id="rId284"/>
    <sheet name="285" sheetId="285" r:id="rId285"/>
    <sheet name="286" sheetId="286" r:id="rId286"/>
    <sheet name="287" sheetId="287" r:id="rId287"/>
    <sheet name="288" sheetId="288" r:id="rId288"/>
    <sheet name="289" sheetId="289" r:id="rId289"/>
    <sheet name="290" sheetId="290" r:id="rId290"/>
    <sheet name="291" sheetId="291" r:id="rId291"/>
    <sheet name="292" sheetId="292" r:id="rId292"/>
    <sheet name="293" sheetId="293" r:id="rId293"/>
    <sheet name="294" sheetId="294" r:id="rId294"/>
    <sheet name="295" sheetId="295" r:id="rId295"/>
    <sheet name="296" sheetId="296" r:id="rId296"/>
    <sheet name="297" sheetId="297" r:id="rId297"/>
    <sheet name="298" sheetId="298" r:id="rId298"/>
    <sheet name="299" sheetId="299" r:id="rId299"/>
  </sheets>
  <definedNames/>
  <calcPr fullCalcOnLoad="1"/>
</workbook>
</file>

<file path=xl/comments13.xml><?xml version="1.0" encoding="utf-8"?>
<comments xmlns="http://schemas.openxmlformats.org/spreadsheetml/2006/main">
  <authors>
    <author/>
  </authors>
  <commentList>
    <comment ref="F5" authorId="0">
      <text>
        <r>
          <rPr>
            <b/>
            <sz val="9"/>
            <color indexed="8"/>
            <rFont val="Tahoma"/>
            <family val="2"/>
          </rPr>
          <t xml:space="preserve">сумма пришла 1772
</t>
        </r>
        <r>
          <rPr>
            <sz val="9"/>
            <color indexed="8"/>
            <rFont val="Tahoma"/>
            <family val="2"/>
          </rPr>
          <t>+ 690, отдала 16 р. с заказом</t>
        </r>
      </text>
    </comment>
  </commentList>
</comments>
</file>

<file path=xl/sharedStrings.xml><?xml version="1.0" encoding="utf-8"?>
<sst xmlns="http://schemas.openxmlformats.org/spreadsheetml/2006/main" count="4925" uniqueCount="655">
  <si>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</si>
  <si>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</si>
  <si>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</si>
  <si>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</si>
  <si>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посылки по которым уже получены</t>
    </r>
  </si>
  <si>
    <t>&amp;11</t>
  </si>
  <si>
    <t xml:space="preserve"> - Ася-</t>
  </si>
  <si>
    <t>Abesinka</t>
  </si>
  <si>
    <t>_aida_</t>
  </si>
  <si>
    <t>&lt;Вика&gt;</t>
  </si>
  <si>
    <t>27lyu</t>
  </si>
  <si>
    <t>abrikosina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</si>
  <si>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</si>
  <si>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</si>
  <si>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</si>
  <si>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</si>
  <si>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</si>
  <si>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</si>
  <si>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</si>
  <si>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</si>
  <si>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</si>
  <si>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</si>
  <si>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</si>
  <si>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79, 121, 152</t>
  </si>
  <si>
    <t>Arizona</t>
  </si>
  <si>
    <t>Aussie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</si>
  <si>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</si>
  <si>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</si>
  <si>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</si>
  <si>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</si>
  <si>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</si>
  <si>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</si>
  <si>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</si>
  <si>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</si>
  <si>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</si>
  <si>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</si>
  <si>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</si>
  <si>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</si>
  <si>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</si>
  <si>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Da_rya</t>
  </si>
  <si>
    <t>180, 186, 232</t>
  </si>
  <si>
    <t>Di_Na</t>
  </si>
  <si>
    <t>74, 89, 101, 198, 199</t>
  </si>
  <si>
    <t>Djessika</t>
  </si>
  <si>
    <t>Domino</t>
  </si>
  <si>
    <t>Doriana</t>
  </si>
  <si>
    <t>Drugok</t>
  </si>
  <si>
    <t>elkina</t>
  </si>
  <si>
    <t>2, 51,52, 82, 121</t>
  </si>
  <si>
    <t>elenn</t>
  </si>
  <si>
    <t>Elena Z</t>
  </si>
  <si>
    <t>EnotOxx</t>
  </si>
  <si>
    <t>Eseniya</t>
  </si>
  <si>
    <t>Figura</t>
  </si>
  <si>
    <t>26, 27, 28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</si>
  <si>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</si>
  <si>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</si>
  <si>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</si>
  <si>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</si>
  <si>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</si>
  <si>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</si>
  <si>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</si>
  <si>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</si>
  <si>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>Hibiskus</t>
  </si>
  <si>
    <t>112, 142, 163, 168, 194</t>
  </si>
  <si>
    <t>Ir_86</t>
  </si>
  <si>
    <t>51, 57, 62, 65, 66, 67, 68, 70, 79, 84,88, 90, 91, 92, 96, 97, 101, 117, 119, 128, 163, 170, 199, 200, 203, 204, 216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</si>
  <si>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</si>
  <si>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</si>
  <si>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</si>
  <si>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</si>
  <si>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</si>
  <si>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</si>
  <si>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</si>
  <si>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JulyaS</t>
  </si>
  <si>
    <t>katyonash</t>
  </si>
  <si>
    <t>142, 147, 185, 187</t>
  </si>
  <si>
    <t>Kathrin2009</t>
  </si>
  <si>
    <t>koopri</t>
  </si>
  <si>
    <t>10, 12, 74, 75</t>
  </si>
  <si>
    <t>ksaila</t>
  </si>
  <si>
    <t>55, 62, 120, 123, 216</t>
  </si>
  <si>
    <t>Ksjunik</t>
  </si>
  <si>
    <t>lanycek</t>
  </si>
  <si>
    <t>LaPetite</t>
  </si>
  <si>
    <t>leya</t>
  </si>
  <si>
    <t>LilGlavbuh</t>
  </si>
  <si>
    <t xml:space="preserve">luddy </t>
  </si>
  <si>
    <t>LuckyNatali</t>
  </si>
  <si>
    <t>lyuna</t>
  </si>
  <si>
    <t>13, 21</t>
  </si>
  <si>
    <t>Lyuda_Lyuda  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</si>
  <si>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</si>
  <si>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</si>
  <si>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</si>
  <si>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</si>
  <si>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</si>
  <si>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</si>
  <si>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</si>
  <si>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</si>
  <si>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</si>
  <si>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</si>
  <si>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</si>
  <si>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 xml:space="preserve">momo5000  </t>
  </si>
  <si>
    <t>50, 54, 57</t>
  </si>
  <si>
    <t>more-more</t>
  </si>
  <si>
    <t>Moskoun</t>
  </si>
  <si>
    <t>MotherSon</t>
  </si>
  <si>
    <t>224, 233</t>
  </si>
  <si>
    <t>musy100</t>
  </si>
  <si>
    <t>Nastay</t>
  </si>
  <si>
    <t>*Natusik*</t>
  </si>
  <si>
    <t>35, 64</t>
  </si>
  <si>
    <t>Nailya_Y</t>
  </si>
  <si>
    <t>151, 165, 189, 192</t>
  </si>
  <si>
    <t>NiceBerry</t>
  </si>
  <si>
    <t>173, 195, 196, 202, 231</t>
  </si>
  <si>
    <t>NikulinaN</t>
  </si>
  <si>
    <t>nadrugoiplanete</t>
  </si>
  <si>
    <t>nafanya54</t>
  </si>
  <si>
    <t>nura180</t>
  </si>
  <si>
    <t>Onlinekate</t>
  </si>
  <si>
    <t>46, 120, 128, 138, 145, 212</t>
  </si>
  <si>
    <t>olishna72</t>
  </si>
  <si>
    <t>Olga_Kir</t>
  </si>
  <si>
    <t>98, 115, 128</t>
  </si>
  <si>
    <t>oksy82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</si>
  <si>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</si>
  <si>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</si>
  <si>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</si>
  <si>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</si>
  <si>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</si>
  <si>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</si>
  <si>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</si>
  <si>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</si>
  <si>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</si>
  <si>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</si>
  <si>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</si>
  <si>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85, 133, 167, 219-220</t>
  </si>
  <si>
    <t>rozalia</t>
  </si>
  <si>
    <t>sann</t>
  </si>
  <si>
    <t>sewa11</t>
  </si>
  <si>
    <t>108, 152, 166</t>
  </si>
  <si>
    <t>shsh</t>
  </si>
  <si>
    <t>solushka</t>
  </si>
  <si>
    <t>Sophi</t>
  </si>
  <si>
    <t>165, 168, 170, 207</t>
  </si>
  <si>
    <t>sorok-i</t>
  </si>
  <si>
    <t>55, 60, 65, 99, 100</t>
  </si>
  <si>
    <t xml:space="preserve">SvetlanKa777  </t>
  </si>
  <si>
    <t>sunny_julianna</t>
  </si>
  <si>
    <t>52, 175</t>
  </si>
  <si>
    <t xml:space="preserve">Tanitta2009 </t>
  </si>
  <si>
    <t>4, 5, 6, 8, 9, 14, 15, 18, 21, 22, 
25, 27, 28, 29, 31, 37, 38, 44, 45, 48, 53, 60, 61, 62, 64, 66, 78</t>
  </si>
  <si>
    <t>tnm1980</t>
  </si>
  <si>
    <t>79, 80,99,102,127, 147, 155, 159, 178, 182, 198, 214</t>
  </si>
  <si>
    <t>torokova123</t>
  </si>
  <si>
    <t>trumea</t>
  </si>
  <si>
    <t>57, 70, 71, 95, 170, 186, 206</t>
  </si>
  <si>
    <t>Tusiya</t>
  </si>
  <si>
    <t>99, 100</t>
  </si>
  <si>
    <t>zannoza</t>
  </si>
  <si>
    <t>Zhannusya</t>
  </si>
  <si>
    <t>Zina30-78</t>
  </si>
  <si>
    <t>198, 234</t>
  </si>
  <si>
    <t>zolotkat</t>
  </si>
  <si>
    <t>94, 95, 99</t>
  </si>
  <si>
    <t>unamela</t>
  </si>
  <si>
    <t>161, 166</t>
  </si>
  <si>
    <t>Vikus'ka</t>
  </si>
  <si>
    <t>Vlada_13</t>
  </si>
  <si>
    <t>Yana_7</t>
  </si>
  <si>
    <t>yulia_olimpia</t>
  </si>
  <si>
    <t>180, 198, 200</t>
  </si>
  <si>
    <t>YLIA81</t>
  </si>
  <si>
    <t>110, 124, 176</t>
  </si>
  <si>
    <t>Абадусь</t>
  </si>
  <si>
    <t>Айринка</t>
  </si>
  <si>
    <t>130, 217</t>
  </si>
  <si>
    <t>Анэстас</t>
  </si>
  <si>
    <t>анютка.4713</t>
  </si>
  <si>
    <t>38, 101, 192</t>
  </si>
  <si>
    <t>Анюточка8605</t>
  </si>
  <si>
    <t>АннаFigura4</t>
  </si>
  <si>
    <t>Бабочка717</t>
  </si>
  <si>
    <t>Верю в чудо</t>
  </si>
  <si>
    <t>Веро4ка</t>
  </si>
  <si>
    <t>Висконти</t>
  </si>
  <si>
    <t>Гленвитол</t>
  </si>
  <si>
    <t>19, 64, 74, 91, 103, 105, 109, 115</t>
  </si>
  <si>
    <t>Госпожа УДАЧА</t>
  </si>
  <si>
    <t>Жасмин77</t>
  </si>
  <si>
    <t>Зайцы</t>
  </si>
  <si>
    <t>137, 147</t>
  </si>
  <si>
    <t>Евгения-ЕВА</t>
  </si>
  <si>
    <t>55, 56</t>
  </si>
  <si>
    <t>Елена Скорик</t>
  </si>
  <si>
    <t>202, 214, 215, 218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</si>
  <si>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</si>
  <si>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</si>
  <si>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</si>
  <si>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</si>
  <si>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</si>
  <si>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</si>
  <si>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</si>
  <si>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</si>
  <si>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</si>
  <si>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Лис-и4-ка</t>
  </si>
  <si>
    <t>Лисенок М</t>
  </si>
  <si>
    <t>Магнолия</t>
  </si>
  <si>
    <t>214, 215</t>
  </si>
  <si>
    <t>Мама Ита</t>
  </si>
  <si>
    <t>Мама Миа</t>
  </si>
  <si>
    <t>159, 161, 172, 177, 181, 207</t>
  </si>
  <si>
    <t>Марина Ларина</t>
  </si>
  <si>
    <t>Марьяна Алексеевна</t>
  </si>
  <si>
    <t>Медведица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</si>
  <si>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</si>
  <si>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</si>
  <si>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</si>
  <si>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</si>
  <si>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</si>
  <si>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</si>
  <si>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</si>
  <si>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</si>
  <si>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82, 96, 103, 133, 203, 216, 222, 237</t>
  </si>
  <si>
    <t>*Неженка*</t>
  </si>
  <si>
    <t>Нефертити</t>
  </si>
  <si>
    <t>олёк</t>
  </si>
  <si>
    <t>Ольга_тм</t>
  </si>
  <si>
    <t>Оля&amp;Никита</t>
  </si>
  <si>
    <t>рина-марина</t>
  </si>
  <si>
    <t>205,212, 222, 227-228</t>
  </si>
  <si>
    <t>семицветик1</t>
  </si>
  <si>
    <t>22, 31, 46, 53, 76, 79, 102, 116, 117,127, 224</t>
  </si>
  <si>
    <t>_серьезная</t>
  </si>
  <si>
    <t>Снежинка_82</t>
  </si>
  <si>
    <t>137, 151</t>
  </si>
  <si>
    <t>Сюша</t>
  </si>
  <si>
    <t>6, 8</t>
  </si>
  <si>
    <t>Татка42</t>
  </si>
  <si>
    <t>Фаворитка</t>
  </si>
  <si>
    <t>фантазия1</t>
  </si>
  <si>
    <t>Юляskа</t>
  </si>
  <si>
    <t>53, 55, 60, 86</t>
  </si>
  <si>
    <t>Улий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</si>
  <si>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</si>
  <si>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</si>
  <si>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</si>
  <si>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</si>
  <si>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</si>
  <si>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</si>
  <si>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</si>
  <si>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</si>
  <si>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</si>
  <si>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</si>
  <si>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</si>
  <si>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</si>
  <si>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</si>
  <si>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</si>
  <si>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я</t>
  </si>
  <si>
    <t>Точный курс будет уточнен после списания средств банком.</t>
  </si>
  <si>
    <t>Оплата до 05.09.2012 включительно. Как только все сдадут, выкупаю, возможно и раньше, если получу опалты.</t>
  </si>
  <si>
    <t>Долг</t>
  </si>
  <si>
    <t>tanitta2009</t>
  </si>
  <si>
    <t>Оплата до 02.10.2012 включительно. Как только все сдадут, выкупаю, возможно и раньше, если получу оплаты.</t>
  </si>
  <si>
    <t>hellcat222</t>
  </si>
  <si>
    <t>ansy</t>
  </si>
  <si>
    <t>luddy</t>
  </si>
  <si>
    <t>Оплата до 12.10.2012 включительно. Как только все сдадут, выкупаю, возможно и раньше, если получу оплаты.</t>
  </si>
  <si>
    <t>я вернула остаток 7 р.</t>
  </si>
  <si>
    <t>Ansy</t>
  </si>
  <si>
    <t>Any_bany</t>
  </si>
  <si>
    <t>оплачено депозитом</t>
  </si>
  <si>
    <t>Я</t>
  </si>
  <si>
    <t xml:space="preserve">Ленуся75 </t>
  </si>
  <si>
    <t>итого</t>
  </si>
  <si>
    <t>лис-и4-ка</t>
  </si>
  <si>
    <t>Ленсуся75</t>
  </si>
  <si>
    <t>gardeya</t>
  </si>
  <si>
    <t>выкуплен</t>
  </si>
  <si>
    <t>figura</t>
  </si>
  <si>
    <t>Выкуплен 04.12.12</t>
  </si>
  <si>
    <t>Выкуплен 06.12.12</t>
  </si>
  <si>
    <t>11 р. за лаки ушло</t>
  </si>
  <si>
    <t>Выкуплен 07.12.12</t>
  </si>
  <si>
    <t>медведица</t>
  </si>
  <si>
    <t>Выкуплен 15.12.12</t>
  </si>
  <si>
    <t>Натюрморт</t>
  </si>
  <si>
    <t>catberry</t>
  </si>
  <si>
    <t>Выкуплен 20.12.12</t>
  </si>
  <si>
    <t>tanitta2008</t>
  </si>
  <si>
    <t>Выкуплен 06.01.2013</t>
  </si>
  <si>
    <t>2 р. снято с депозита за кисти</t>
  </si>
  <si>
    <t>Выкуплен 10.01.2013</t>
  </si>
  <si>
    <t>Выкуплен 17.01.2013</t>
  </si>
  <si>
    <t>30 р снято за перекид</t>
  </si>
  <si>
    <t xml:space="preserve">Aussie  </t>
  </si>
  <si>
    <t>вычла 7 в счет перекида</t>
  </si>
  <si>
    <t>Выкуплен 24.01.2013</t>
  </si>
  <si>
    <t>13 р депозита перекинула в счет долга кокон 11</t>
  </si>
  <si>
    <t xml:space="preserve">&amp;11 </t>
  </si>
  <si>
    <t>momo5000</t>
  </si>
  <si>
    <t>выкуплен 07.02.13</t>
  </si>
  <si>
    <t>Юляska</t>
  </si>
  <si>
    <t>Ksaila</t>
  </si>
  <si>
    <t>simba-07</t>
  </si>
  <si>
    <t>выкуплен 08.02.13</t>
  </si>
  <si>
    <t>выкуплен 15.02.13</t>
  </si>
  <si>
    <t>Belissa</t>
  </si>
  <si>
    <t>Sorok-i</t>
  </si>
  <si>
    <t>выкуплен 26.02.13</t>
  </si>
  <si>
    <t>Оплата до 29.02.13 включительно</t>
  </si>
  <si>
    <r>
      <t xml:space="preserve">Пишем в 1 посте об оплате в </t>
    </r>
    <r>
      <rPr>
        <b/>
        <u val="single"/>
        <sz val="24"/>
        <color indexed="10"/>
        <rFont val="Calibri"/>
        <family val="2"/>
      </rPr>
      <t>форме</t>
    </r>
  </si>
  <si>
    <t>КУРС будет уточнен по факту списания средств банком</t>
  </si>
  <si>
    <t>выкуплен 28.02.13</t>
  </si>
  <si>
    <t>Оплата до 03.03.13 включительно</t>
  </si>
  <si>
    <t>выкуплен 06.03.13</t>
  </si>
  <si>
    <t>выкуплен 10.03.13</t>
  </si>
  <si>
    <t xml:space="preserve">iwonna… </t>
  </si>
  <si>
    <t>выкуплен 18.03.13</t>
  </si>
  <si>
    <t>117 р депозит с оплаты 10.06</t>
  </si>
  <si>
    <t>выкуплен 21.03.13</t>
  </si>
  <si>
    <t xml:space="preserve">Lyuda_Lyuda </t>
  </si>
  <si>
    <t>выкуплен 27.03.13</t>
  </si>
  <si>
    <t>выкуплен 02.04.13</t>
  </si>
  <si>
    <t>Tanitta2009</t>
  </si>
  <si>
    <t>выкуплен 08.04.13</t>
  </si>
  <si>
    <t>Оплата до 11.04.13 включительно</t>
  </si>
  <si>
    <t>выкуплен 15.04.13</t>
  </si>
  <si>
    <t>выкуплен 22.04.13</t>
  </si>
  <si>
    <t>Нашка</t>
  </si>
  <si>
    <t>aussie</t>
  </si>
  <si>
    <t>выкуплен 04.05.13</t>
  </si>
  <si>
    <t>ir_86</t>
  </si>
  <si>
    <t>выкуплен 09.05.13</t>
  </si>
  <si>
    <t>гленвитол</t>
  </si>
  <si>
    <t>выкуплен 19.05.13</t>
  </si>
  <si>
    <t>выкуплен 24.05.13</t>
  </si>
  <si>
    <t>выкуплен 30.05.13</t>
  </si>
  <si>
    <t>Olishna72</t>
  </si>
  <si>
    <t>выкуплен 07.06.13</t>
  </si>
  <si>
    <t>выкуплен 30.06.13</t>
  </si>
  <si>
    <t>6. р. убрала в счет долга по лакам.</t>
  </si>
  <si>
    <t>выкуплен 25.07.13</t>
  </si>
  <si>
    <t>Di Na</t>
  </si>
  <si>
    <t>22 убрала на кокон 29</t>
  </si>
  <si>
    <t>оплату внесла из депозита по лакам</t>
  </si>
  <si>
    <t>выкуплен 01.08.13</t>
  </si>
  <si>
    <t>выкуплен 04.08.13</t>
  </si>
  <si>
    <t>Solushka</t>
  </si>
  <si>
    <t>выкуплен 13.08.13</t>
  </si>
  <si>
    <t>238 внесла с депозита лаки 8</t>
  </si>
  <si>
    <t xml:space="preserve">parus  </t>
  </si>
  <si>
    <t>выкуплен 21.08.13</t>
  </si>
  <si>
    <t>выкуплен 29.08.13</t>
  </si>
  <si>
    <t>выкуплен 02.09.13</t>
  </si>
  <si>
    <t>выкуплен 15.09.13</t>
  </si>
  <si>
    <t>сналя 203 р с парабазар1, 129 р с депозита лаки 11</t>
  </si>
  <si>
    <t>Elenn</t>
  </si>
  <si>
    <t>Olga_kir</t>
  </si>
  <si>
    <t>выкуплен 23.09.13</t>
  </si>
  <si>
    <t>выкуплен 29.09.13</t>
  </si>
  <si>
    <t>выкуплен 01.10.13</t>
  </si>
  <si>
    <t>выкуплен 03.10.13</t>
  </si>
  <si>
    <t>выкуплен 08.10.13</t>
  </si>
  <si>
    <t>выкуплен 12.10.13</t>
  </si>
  <si>
    <t>выкуплен 17.10.13</t>
  </si>
  <si>
    <t>выкуплен 20.10.13</t>
  </si>
  <si>
    <t>выкуплен 28.10.13</t>
  </si>
  <si>
    <t>выкуплен 31.10.13</t>
  </si>
  <si>
    <t>Ingrid</t>
  </si>
  <si>
    <t>Julary</t>
  </si>
  <si>
    <t>выкуплен 06.11.13</t>
  </si>
  <si>
    <t>выкуплен 08.11.13</t>
  </si>
  <si>
    <t>убрала 2784 за третиноин, 2763 на джим10</t>
  </si>
  <si>
    <t>выкуплен 19.11.13</t>
  </si>
  <si>
    <t>выкуплен 28.11.13</t>
  </si>
  <si>
    <r>
      <t>Aussie</t>
    </r>
    <r>
      <rPr>
        <b/>
        <sz val="11"/>
        <color indexed="8"/>
        <rFont val="Calibri"/>
        <family val="2"/>
      </rPr>
      <t>***</t>
    </r>
  </si>
  <si>
    <t>*** крем закончился на сайте, который по 2$</t>
  </si>
  <si>
    <t>may-lyudmila****</t>
  </si>
  <si>
    <t>****  еще одна позиция была выкуплена, но по ней возврат на карту мне был: http://www.iherb.com/Neoteric-Cosmetics-Inc-Alpha-Hydrox-Silk-Wrap-Body-Lotion-12-oz-340-g/52345</t>
  </si>
  <si>
    <t>выкуплен 03.12.13</t>
  </si>
  <si>
    <t>выкуплен 05.12.13</t>
  </si>
  <si>
    <t>Яшеничка</t>
  </si>
  <si>
    <t>выкуплен 13.12.13</t>
  </si>
  <si>
    <t>зайцы</t>
  </si>
  <si>
    <t>выкуплен 18.12.13</t>
  </si>
  <si>
    <t>выкуплен 03.01.2014</t>
  </si>
  <si>
    <t>выкуплен 05.01.2014</t>
  </si>
  <si>
    <t>выкуплен 11.01.2014</t>
  </si>
  <si>
    <t>27Lyu</t>
  </si>
  <si>
    <t>выкуплен 17.01.2014</t>
  </si>
  <si>
    <t>выкуплен 22.01.2014</t>
  </si>
  <si>
    <t>выкуплен 23.01.2014</t>
  </si>
  <si>
    <t>выкуплен 27.01.2014</t>
  </si>
  <si>
    <t>8 р добавила с депозита по лаки 13</t>
  </si>
  <si>
    <t>выкуплен 29.01.2014</t>
  </si>
  <si>
    <t>нет позици</t>
  </si>
  <si>
    <t>http://www.iherb.com/Now-Foods-Laxative-Cleanse-100-Veggie-Caps/39372</t>
  </si>
  <si>
    <t>Green Eyes</t>
  </si>
  <si>
    <t>выкуплен 30.01.2014</t>
  </si>
  <si>
    <t>выкуплен 03.02.2014</t>
  </si>
  <si>
    <t>выкуплен 04.02.2014</t>
  </si>
  <si>
    <t>убрала 350 р за наличие, + 62 р с депозита фармашоп 9</t>
  </si>
  <si>
    <t>выкуплен 12.02.2014</t>
  </si>
  <si>
    <t>Марина ларина</t>
  </si>
  <si>
    <t>выкуплен 20.02.2014</t>
  </si>
  <si>
    <t>julary2</t>
  </si>
  <si>
    <t xml:space="preserve">выкуплен, не было сначала </t>
  </si>
  <si>
    <t>http://ru.iherb.com/alba-botanica-hawaiian-anti-frizz-serum-2-fl-oz-59-ml/53015</t>
  </si>
  <si>
    <t>Мама миа</t>
  </si>
  <si>
    <t xml:space="preserve">не было: </t>
  </si>
  <si>
    <t>http://www.iherb.com/Hyalogic-LLC-Episilk-Lip-Balm-with-Hyaluronic-Acid-1-2-fl-oz-14-g/38457</t>
  </si>
  <si>
    <t>выкуплю, как появится</t>
  </si>
  <si>
    <t>выкуплен 23.02.2014</t>
  </si>
  <si>
    <t>курс будет уточнен по факту списания банком</t>
  </si>
  <si>
    <t>выкуплен 28.02.2014</t>
  </si>
  <si>
    <t>выкуплен 07.03.2014</t>
  </si>
  <si>
    <t>moskoun</t>
  </si>
  <si>
    <t>Rainie</t>
  </si>
  <si>
    <t>ingrid</t>
  </si>
  <si>
    <t>не выкуплено ingrid</t>
  </si>
  <si>
    <t>http://www.iherb.com/California-Gold-Nutrition-Spirulina-500-mg-60-Tablets/48403</t>
  </si>
  <si>
    <t>http://www.iherb.com/iHerb-Goods-Stainless-Steel-Snap-Mesh-Tea-Infuser/50822</t>
  </si>
  <si>
    <t>http://www.iherb.com/Now-Foods-Better-Stevia-Liquid-Sweetener-French-Vanilla-2-fl-oz-60-ml/16558</t>
  </si>
  <si>
    <t>http://www.iherb.com/Now-Foods-Better-Stevia-Liquid-Sweetener-Dark-Chocolate-2-fl-oz-60-ml/16571</t>
  </si>
  <si>
    <t>http://www.iherb.com/iHerb-Goods-Magnifier-with-LED-Light/55640</t>
  </si>
  <si>
    <t>http://www.iherb.com/Now-Foods-Better-Stevia-Liquid-Sweetener-Glycerite-Alcohol-Free-2-fl-oz-60-ml/862</t>
  </si>
  <si>
    <t>выкуплен 12.03.2014</t>
  </si>
  <si>
    <t>marysya7</t>
  </si>
  <si>
    <t>выкуплен 13.03.2014</t>
  </si>
  <si>
    <t>выкуплен 24.03.2014</t>
  </si>
  <si>
    <t>выкуплен 25.03.2014</t>
  </si>
  <si>
    <t>выкуплен 27.03.2014</t>
  </si>
  <si>
    <t>выкуплен 31.03.2014</t>
  </si>
  <si>
    <t>не было</t>
  </si>
  <si>
    <t>http://ru.iherb.com/South-of-France-Lemon-Verbena-Hand-Wash-with-Soothing-Aloe-Vera-8-oz-236-ml/54928 </t>
  </si>
  <si>
    <t>http://ru.iherb.com/Bernard-Jensen-s-Chlorophyll-Natural-Flavor-16-fl-oz-474-ml/5723</t>
  </si>
  <si>
    <t>не было:</t>
  </si>
  <si>
    <t>http://www.iherb.com/product-reviews/FutureBiotics-The-30-Day-Beauty-Secret-30-Packets/3632/?p=1</t>
  </si>
  <si>
    <t>http://ru.iherb.com/Thayers-Rose-Petal-Witch-Hazel-with-Aloe-Vera-Formula-Alcohol-Free-Toner-12-fl-oz-355-ml/6792</t>
  </si>
  <si>
    <t>http://ru.iherb.com/product-reviews/Thayers-Rose-Petal-Witch-Hazel-with-Aloe-Vera-Formula-Alcohol-Free-Toner-12-fl-oz-355-ml/6792/?p=1 </t>
  </si>
  <si>
    <t>http://ru.iherb.com/product-reviews/Real-Techniques-by-Samantha-Chapman-Miracle-Complexion-Sponge-1-Sponge/52027/?p=1 </t>
  </si>
  <si>
    <t xml:space="preserve">http://www.iherb.com/Jason-Natural-100-Organic-Oil-Tea-Tree-1-fl-oz-30-ml/19476#p=1&amp;oos=1&amp;disc=0&amp;lc=en-US&amp;w=Jason%20Purifying%20Tea%20Tree%20100%25%20Organic%20Oil&amp;rc=292&amp;sr=null&amp;ic=1 </t>
  </si>
  <si>
    <t>было только 2, вместо 3</t>
  </si>
  <si>
    <t>http://www.iherb.com/Jason-Natural-Nail-Saver-Tea-Tree-0-5-fl-oz-15-ml/6237 </t>
  </si>
  <si>
    <t>http://www.iherb.com/Port-Trading-Co-J-R-Rooibos-Red-Tea-Caffeine-Free-20-Tea-Bags-1-765-oz-50-g/23775 </t>
  </si>
  <si>
    <t>Выкуп 23.04.14</t>
  </si>
  <si>
    <t>Не было и скорее всего не будет:</t>
  </si>
  <si>
    <t>http://ru.iherb.com/product-reviews/South-of-France-Mango-French-Milled-Bar-Soap-8-oz-227-g/14397/?p=1 </t>
  </si>
  <si>
    <t>http://ru.iherb.com/product-reviews/South-of-France-French-Milled-Bar-Soap-Magnolia-Pear-8-oz-227-g/44961/?p=1 </t>
  </si>
  <si>
    <t>Выкуп 30.04.14</t>
  </si>
  <si>
    <t>депозит с продажи минералки</t>
  </si>
  <si>
    <t xml:space="preserve">Irynya  </t>
  </si>
  <si>
    <t>Выкуп 08.05.14</t>
  </si>
  <si>
    <t>мама миа</t>
  </si>
  <si>
    <t>доставка 20 р.</t>
  </si>
  <si>
    <t>http://ru.iherb.com/Blum-Naturals-Oil-Absorbing-Facial-Tissues-50-Sheets/30588</t>
  </si>
  <si>
    <t>Выкуп 17.05.14</t>
  </si>
  <si>
    <t>Рина-Марина</t>
  </si>
  <si>
    <t>убрала за на надичие 04 июня</t>
  </si>
  <si>
    <t>Выкуп 23.05.14</t>
  </si>
  <si>
    <t xml:space="preserve">Елена Скорик  </t>
  </si>
  <si>
    <t>2 р отдала с заказом</t>
  </si>
  <si>
    <t>Выкуп 01.06.14</t>
  </si>
  <si>
    <t>Выкуп 03.06.14</t>
  </si>
  <si>
    <t>Выкуп 09.06.14</t>
  </si>
  <si>
    <t>Выкуп 14.06.14</t>
  </si>
  <si>
    <t xml:space="preserve">Елена Скорик </t>
  </si>
  <si>
    <t>убрала 230 р в счет тоника из наличия</t>
  </si>
  <si>
    <t>Выкуп 23.06.14</t>
  </si>
  <si>
    <t>Выкуп 30.06.14</t>
  </si>
  <si>
    <t>Выкуп 07.07.14</t>
  </si>
  <si>
    <t>janey</t>
  </si>
  <si>
    <t>перенесла депозит 49 р на ракутен 7</t>
  </si>
  <si>
    <t>Выкуп 14.07.14</t>
  </si>
  <si>
    <t>Выкуп 21.07.14</t>
  </si>
  <si>
    <t xml:space="preserve">Domino </t>
  </si>
  <si>
    <t>Выкуп 29.07.14</t>
  </si>
  <si>
    <t>Выкуп 08.08.14</t>
  </si>
  <si>
    <t>Катрунасия</t>
  </si>
  <si>
    <t>Выкуп 14.08.14</t>
  </si>
  <si>
    <t xml:space="preserve">         - Ася-</t>
  </si>
  <si>
    <t>Выкуп 23.08.14</t>
  </si>
  <si>
    <t>Не выкуплено, т. к. такие позиции уже были в заказах, кол-во 1 на покупателя, далее-по полной цене</t>
  </si>
  <si>
    <t>http://www.iherb.com/California-Gold-Nutrition-Daily-Vits-Mins-30-Tablets/57116 </t>
  </si>
  <si>
    <t>http://www.iherb.com/Source-Naturals-Skin-Eternal-Cream-2-oz-56-7-g/22378 </t>
  </si>
  <si>
    <t>4. http://www.iherb.com/iHerb-Promotional-Materials-Day-Night-Pill-Organizer/57481</t>
  </si>
  <si>
    <t>не было в наличии</t>
  </si>
  <si>
    <t>http://ru.iherb.com/Tom-s-of-Maine-Natural-Children-s-Fluoride-Toothpaste-Outrageous-Orange-Mango-4-2-oz-119-g/56255 </t>
  </si>
  <si>
    <t>Выкуп 26.08.14</t>
  </si>
  <si>
    <t>убрала 8 р в счет наличия 29.08</t>
  </si>
  <si>
    <t>Выкуп 08.09.14</t>
  </si>
  <si>
    <t xml:space="preserve">Ver511  </t>
  </si>
  <si>
    <t>Morrigan</t>
  </si>
  <si>
    <t>Cherryta</t>
  </si>
  <si>
    <t>Йожи</t>
  </si>
  <si>
    <t>KisenkaYa</t>
  </si>
  <si>
    <t xml:space="preserve">Elenn  </t>
  </si>
  <si>
    <t>Dgenny</t>
  </si>
  <si>
    <t>Ver511</t>
  </si>
  <si>
    <t>115, 118, 119, 120, 122, 133, 173, 172, 180, 185, 189, 200, 201, 207, 251</t>
  </si>
  <si>
    <t>161, 251</t>
  </si>
  <si>
    <t>Выкуп 09.09.14</t>
  </si>
  <si>
    <t>Юл83</t>
  </si>
  <si>
    <t>Сини4ка</t>
  </si>
  <si>
    <t>85, 131, 254</t>
  </si>
  <si>
    <t>107, 108, 129-131, 143, 144, 149, 162, 169, 183, 208-210, 213, 223-225, 246, 249, 250, 252, 253, 254</t>
  </si>
  <si>
    <t>Выкуп 15.09.14</t>
  </si>
  <si>
    <t>Nika751</t>
  </si>
  <si>
    <t>Natali37</t>
  </si>
  <si>
    <t>3, 6, 24, 38, 51, 116, 139,243, 256</t>
  </si>
  <si>
    <t>237,239, 256</t>
  </si>
  <si>
    <t>247, 257</t>
  </si>
  <si>
    <t>Выкуп 22.09.14</t>
  </si>
  <si>
    <t>39, 44, 65, 83, 85, 94, 164, 255</t>
  </si>
  <si>
    <t>Jully</t>
  </si>
  <si>
    <t>3, 103, 105, 110, 111, 182, 184, 213, 227, 228, 229, 258,259, 261</t>
  </si>
  <si>
    <t>АняБ</t>
  </si>
  <si>
    <t>218, 237, 260</t>
  </si>
  <si>
    <t>jully</t>
  </si>
  <si>
    <t>240, 259</t>
  </si>
  <si>
    <t>Выкуп 25.09.14</t>
  </si>
  <si>
    <t>Alen@</t>
  </si>
  <si>
    <t>Руф</t>
  </si>
  <si>
    <t>*SvetOK*</t>
  </si>
  <si>
    <t>Frence</t>
  </si>
  <si>
    <t>руф</t>
  </si>
  <si>
    <t>Выкуп 28.09.14</t>
  </si>
  <si>
    <t>Lara11</t>
  </si>
  <si>
    <t>Lira1405</t>
  </si>
  <si>
    <t>243, 265</t>
  </si>
  <si>
    <t>9, 10, 38, 53, 57, 59, 62, 63, 67, 70, 71, 72, 76, 80, 82,88, 94, 95, 101, 103, 104, 107, 118, 131, 138, 169, 193, 198, 266</t>
  </si>
  <si>
    <t>2, 4, 47, 56, 57, 83,86, 96, 131, 176, 177, 181, 186, 194, 201, 207,221, 266</t>
  </si>
  <si>
    <t>убрала 63 в счет наличи 27.09.</t>
  </si>
  <si>
    <t>Выкуп 07.10.14</t>
  </si>
  <si>
    <t>Выкуп 08.10.14</t>
  </si>
  <si>
    <t>Nastenka82</t>
  </si>
  <si>
    <t>Каролiнка</t>
  </si>
  <si>
    <t xml:space="preserve"> ШерХан</t>
  </si>
  <si>
    <t>Stacy</t>
  </si>
  <si>
    <t>246, 268</t>
  </si>
  <si>
    <t>165, 180, 182, 185, 261, 270</t>
  </si>
  <si>
    <t>249, 271</t>
  </si>
  <si>
    <t>207, 272</t>
  </si>
  <si>
    <t>убрала 4 р в счет доставки</t>
  </si>
  <si>
    <t>Выкуп 12.10.14</t>
  </si>
  <si>
    <t>Дашулькина мама</t>
  </si>
  <si>
    <t>Elenushka</t>
  </si>
  <si>
    <t>Svetik_nv</t>
  </si>
  <si>
    <t>МариЖа</t>
  </si>
  <si>
    <t>275-278</t>
  </si>
  <si>
    <t>15, 16, 21, 25, 28, 32, 34, 35, 40, 54, 58, 61, 66, 69, 75, 112, 142, 143, 169, 198, 200, 202, 234, 235, 241,257, 273-274</t>
  </si>
  <si>
    <t>212, 214,241,243, 247, 268-269, 274</t>
  </si>
  <si>
    <t>238, 257, 272, 274</t>
  </si>
  <si>
    <t>44 р убрала в счет наличия 08.10</t>
  </si>
  <si>
    <t>Выкуп 15.10.14</t>
  </si>
  <si>
    <t>Song</t>
  </si>
  <si>
    <t>133-136, 152-158, 160, 174, 175, 177, 211, 212, 240, 244, 245, 280</t>
  </si>
  <si>
    <t>215, 279</t>
  </si>
  <si>
    <t>убрала 43 р в счет наличия 18.10 (гель мустела)</t>
  </si>
  <si>
    <t>Выкуп 23.10.14</t>
  </si>
  <si>
    <t>orhideya-j</t>
  </si>
  <si>
    <t>Стюардесса</t>
  </si>
  <si>
    <t>275, 281</t>
  </si>
  <si>
    <t>180, 197, 232, 274, 281</t>
  </si>
  <si>
    <t>Выкуп 27.10.14</t>
  </si>
  <si>
    <t xml:space="preserve">Any0318  </t>
  </si>
  <si>
    <t>Анютко</t>
  </si>
  <si>
    <t>Дождь</t>
  </si>
  <si>
    <t>http://www.iherb.com/South-of-France-Climbing-Wild-Rose-French-Milled-Oval-Soap-with-Organic-Shea-Butter-6-oz-170-g/54918 </t>
  </si>
  <si>
    <t>http://www.iherb.com/South-of-France-Herbes-De-Provence-French-Milled-Oval-Soap-with-Organic-Shea-Butter-6-oz-170-g/54924 </t>
  </si>
  <si>
    <t>Any0318</t>
  </si>
  <si>
    <t>131, 148, 282</t>
  </si>
  <si>
    <t>Выкуп 30.10.14</t>
  </si>
  <si>
    <t>Ternura</t>
  </si>
  <si>
    <t>Н@тали</t>
  </si>
  <si>
    <t>262, 284</t>
  </si>
  <si>
    <t>Выкуп 09.11.14</t>
  </si>
  <si>
    <t>nadia82</t>
  </si>
  <si>
    <t>evgeniya2012</t>
  </si>
  <si>
    <t xml:space="preserve">Абадусь  </t>
  </si>
  <si>
    <t>f.irina</t>
  </si>
  <si>
    <t>Приорат Диора</t>
  </si>
  <si>
    <t>114, 115, 119, 128, 144, 155, 160, 181, 204, 217, 264, 285</t>
  </si>
  <si>
    <t>281, 285</t>
  </si>
  <si>
    <t>125, 286</t>
  </si>
  <si>
    <t>Выкуп 15.11.14</t>
  </si>
  <si>
    <t>Ольга975</t>
  </si>
  <si>
    <t>Extra</t>
  </si>
  <si>
    <t xml:space="preserve">Медведица  </t>
  </si>
  <si>
    <t>http://www.iherb.com/E-L-F-Cosmetics-Eyebrow-Kit-Gel-Powder-Ash-0-123-oz-3-5-g/53934</t>
  </si>
  <si>
    <t>http://ru.iherb.com/Yogi-Tea-Stress-Relief-Caffeine-Free-Honey-Lavender-16-Tea-Bags-1-02-oz-29-g/41988 </t>
  </si>
  <si>
    <t>http://ru.iherb.com/Giovanni-Smooth-As-Silk-Deep-Moisture-Shampoo-8-5-fl-oz-250-ml/6419 </t>
  </si>
  <si>
    <t xml:space="preserve">KisenkaYa  </t>
  </si>
  <si>
    <t>Svetlada</t>
  </si>
  <si>
    <t>zhemapel-ka</t>
  </si>
  <si>
    <t>FISTASHKA*****</t>
  </si>
  <si>
    <t>Разведка2004</t>
  </si>
  <si>
    <t>254, 288</t>
  </si>
  <si>
    <t>147, 151, 282, 288</t>
  </si>
  <si>
    <t>271, 281, 288</t>
  </si>
  <si>
    <t>60, 92, 96, 101, 108, 122, 126, 127, 139-141, 142, 147, 148, 163, 172,175, 189, 200, 205, 217, 226, 289</t>
  </si>
  <si>
    <t>250, 289</t>
  </si>
  <si>
    <t>Mo_Lena</t>
  </si>
  <si>
    <t>http://ru.iherb.com/Panda-Licorice-Soft-Licorice-7-oz-200-g/30288</t>
  </si>
  <si>
    <t>http://ru.iherb.com/21st-Century-Health-Care-Cal-Mag-Zinc-D-90-Tablets/10695</t>
  </si>
  <si>
    <t>http://www.iherb.com/Mineral-Fusion-Minerals-on-a-Mission-Nail-Lacquer-Blushing-Crystal-0-33-fl-oz-10-ml/50057</t>
  </si>
  <si>
    <t>Helen_D</t>
  </si>
  <si>
    <t>Велька</t>
  </si>
  <si>
    <t xml:space="preserve">Helen_D  </t>
  </si>
  <si>
    <t>263, 293</t>
  </si>
  <si>
    <t>289, 291</t>
  </si>
  <si>
    <t>284.1, 286, 292</t>
  </si>
  <si>
    <t>273, 279, 281, 283, 292</t>
  </si>
  <si>
    <t>17, 19, 20, 21, 23, 36, 37, 58, 98, 172, 190, 194, 213, 267, 279, 288, 292</t>
  </si>
  <si>
    <t>Выкуп 02.12.14</t>
  </si>
  <si>
    <t>Fox103</t>
  </si>
  <si>
    <t>177, 186, 187, 291, 294</t>
  </si>
  <si>
    <t>175, 185, 201, 217,222, 233, 235, 256, 264, 281, 292, 294</t>
  </si>
  <si>
    <t>260, 263, 294</t>
  </si>
  <si>
    <t>292, 295</t>
  </si>
  <si>
    <t>265,267, 286, 287, 288, 295</t>
  </si>
  <si>
    <t>Выкуп 07.12.14</t>
  </si>
  <si>
    <t>томасян</t>
  </si>
  <si>
    <t>286, 288, 296</t>
  </si>
  <si>
    <t>146, 292, 294, 296</t>
  </si>
  <si>
    <t>4, 8, 25, 44, 46, 66, 123, 131, 137, 142, 151, 160, 165, 189, 195, 198, 205, 217,225, 239,274, 288, 289, 296</t>
  </si>
  <si>
    <t>290, 296</t>
  </si>
  <si>
    <t xml:space="preserve">перенесена переплата по парфюму </t>
  </si>
  <si>
    <t>Выкуп 12.12.14</t>
  </si>
  <si>
    <t>ляМУРка</t>
  </si>
  <si>
    <t>Lyuda_Lyuda</t>
  </si>
  <si>
    <t>Bast</t>
  </si>
  <si>
    <t>242,243, 267, 287, 288, 295, 297</t>
  </si>
  <si>
    <t>199, 201, 247, 248, 297</t>
  </si>
  <si>
    <t>93, 94, 109, 111, 114, 163, 167, 169, 182, 202, 214,221, 226,231, 236, 258, 275, 283, 287, 294, 297</t>
  </si>
  <si>
    <t>83, 200, 297</t>
  </si>
  <si>
    <t>237, 298</t>
  </si>
  <si>
    <t>103, 178, 191, 206,212, 214, 215, 243, 247, 254, 258, 284, 288, 298</t>
  </si>
  <si>
    <t>22, 24, 29, 32, 50, 53, 69, 70, 78, 79, 107, 137, 168, 173, 199, 222, 251, 262, 281, 298</t>
  </si>
  <si>
    <t>282, 298</t>
  </si>
  <si>
    <t>Выкуп 23.12.14</t>
  </si>
  <si>
    <t>Celika</t>
  </si>
  <si>
    <t>ZAliM</t>
  </si>
  <si>
    <t>81, 82, 85, 90, 111, 299</t>
  </si>
  <si>
    <t>51, 65, 83, 84,87, 88, 100, 112, 123, 134, 142, 151, 160, 168, 186, 187, 199, 200, 202, 207, 230, 239, 260, 279, 291, 299</t>
  </si>
  <si>
    <t>291, 299</t>
  </si>
  <si>
    <t>203, 230,299</t>
  </si>
  <si>
    <t>53, 54, 78, 88, 118, 264, 299</t>
  </si>
  <si>
    <t>Дорагуша</t>
  </si>
  <si>
    <t>Kniga2012</t>
  </si>
  <si>
    <t>вернули!</t>
  </si>
  <si>
    <t>20 р вычла за межгород англия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</si>
</sst>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24"/>
      <color indexed="10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u val="single"/>
      <sz val="24"/>
      <color indexed="10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40"/>
      <name val="Calibri"/>
      <family val="2"/>
    </font>
    <font>
      <u val="single"/>
      <sz val="11"/>
      <color indexed="40"/>
      <name val="Calibri"/>
      <family val="2"/>
    </font>
    <font>
      <sz val="11"/>
      <color indexed="17"/>
      <name val="Calibri"/>
      <family val="2"/>
    </font>
    <font>
      <u val="single"/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34" borderId="10" xfId="0" applyFill="1" applyBorder="1" applyAlignment="1">
      <alignment horizontal="left" wrapText="1"/>
    </xf>
    <xf numFmtId="1" fontId="0" fillId="0" borderId="10" xfId="0" applyNumberFormat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34" borderId="10" xfId="0" applyFont="1" applyFill="1" applyBorder="1" applyAlignment="1">
      <alignment wrapText="1"/>
    </xf>
    <xf numFmtId="3" fontId="0" fillId="35" borderId="10" xfId="0" applyNumberForma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4" borderId="1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/>
    </xf>
    <xf numFmtId="0" fontId="0" fillId="35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1" fontId="0" fillId="0" borderId="12" xfId="0" applyNumberFormat="1" applyBorder="1" applyAlignment="1">
      <alignment horizontal="center"/>
    </xf>
    <xf numFmtId="0" fontId="0" fillId="35" borderId="12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wrapText="1"/>
    </xf>
    <xf numFmtId="1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 wrapText="1"/>
    </xf>
    <xf numFmtId="1" fontId="0" fillId="34" borderId="1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4" fillId="34" borderId="0" xfId="0" applyFont="1" applyFill="1" applyAlignment="1">
      <alignment/>
    </xf>
    <xf numFmtId="1" fontId="0" fillId="34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3" fillId="34" borderId="0" xfId="0" applyFont="1" applyFill="1" applyAlignment="1">
      <alignment/>
    </xf>
    <xf numFmtId="1" fontId="0" fillId="33" borderId="10" xfId="0" applyNumberFormat="1" applyFill="1" applyBorder="1" applyAlignment="1">
      <alignment/>
    </xf>
    <xf numFmtId="2" fontId="7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/>
    </xf>
    <xf numFmtId="0" fontId="0" fillId="0" borderId="15" xfId="0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0" fontId="13" fillId="34" borderId="0" xfId="0" applyFont="1" applyFill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0" fontId="14" fillId="34" borderId="10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1" fontId="0" fillId="37" borderId="10" xfId="0" applyNumberFormat="1" applyFill="1" applyBorder="1" applyAlignment="1">
      <alignment/>
    </xf>
    <xf numFmtId="0" fontId="10" fillId="34" borderId="0" xfId="0" applyFont="1" applyFill="1" applyAlignment="1">
      <alignment wrapText="1"/>
    </xf>
    <xf numFmtId="1" fontId="0" fillId="34" borderId="0" xfId="0" applyNumberFormat="1" applyFill="1" applyAlignment="1">
      <alignment wrapText="1"/>
    </xf>
    <xf numFmtId="0" fontId="10" fillId="34" borderId="10" xfId="0" applyFont="1" applyFill="1" applyBorder="1" applyAlignment="1">
      <alignment horizontal="center" vertical="center" wrapText="1"/>
    </xf>
    <xf numFmtId="1" fontId="16" fillId="34" borderId="10" xfId="0" applyNumberFormat="1" applyFont="1" applyFill="1" applyBorder="1" applyAlignment="1">
      <alignment/>
    </xf>
    <xf numFmtId="1" fontId="16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34" borderId="15" xfId="0" applyFill="1" applyBorder="1" applyAlignment="1">
      <alignment/>
    </xf>
    <xf numFmtId="0" fontId="13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17" fillId="0" borderId="0" xfId="42" applyNumberFormat="1" applyFont="1" applyFill="1" applyBorder="1" applyAlignment="1" applyProtection="1">
      <alignment/>
      <protection/>
    </xf>
    <xf numFmtId="0" fontId="19" fillId="34" borderId="0" xfId="0" applyFont="1" applyFill="1" applyAlignment="1">
      <alignment wrapText="1"/>
    </xf>
    <xf numFmtId="0" fontId="20" fillId="0" borderId="0" xfId="42" applyNumberFormat="1" applyFont="1" applyFill="1" applyBorder="1" applyAlignment="1" applyProtection="1">
      <alignment/>
      <protection/>
    </xf>
    <xf numFmtId="0" fontId="21" fillId="34" borderId="0" xfId="0" applyFont="1" applyFill="1" applyAlignment="1">
      <alignment wrapText="1"/>
    </xf>
    <xf numFmtId="0" fontId="22" fillId="0" borderId="0" xfId="42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18" fillId="34" borderId="0" xfId="42" applyNumberFormat="1" applyFont="1" applyFill="1" applyBorder="1" applyAlignment="1" applyProtection="1">
      <alignment/>
      <protection/>
    </xf>
    <xf numFmtId="0" fontId="18" fillId="0" borderId="0" xfId="42" applyNumberFormat="1" applyFont="1" applyFill="1" applyBorder="1" applyAlignment="1" applyProtection="1">
      <alignment/>
      <protection/>
    </xf>
    <xf numFmtId="0" fontId="2" fillId="38" borderId="10" xfId="0" applyFont="1" applyFill="1" applyBorder="1" applyAlignment="1">
      <alignment wrapText="1"/>
    </xf>
    <xf numFmtId="0" fontId="2" fillId="38" borderId="15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34" borderId="10" xfId="0" applyFont="1" applyFill="1" applyBorder="1" applyAlignment="1">
      <alignment wrapText="1"/>
    </xf>
    <xf numFmtId="0" fontId="16" fillId="34" borderId="0" xfId="0" applyFont="1" applyFill="1" applyAlignment="1">
      <alignment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39" borderId="0" xfId="0" applyFont="1" applyFill="1" applyAlignment="1">
      <alignment/>
    </xf>
    <xf numFmtId="0" fontId="0" fillId="39" borderId="0" xfId="0" applyFill="1" applyAlignment="1">
      <alignment/>
    </xf>
    <xf numFmtId="0" fontId="18" fillId="0" borderId="0" xfId="42" applyNumberFormat="1" applyFont="1" applyFill="1" applyBorder="1" applyAlignment="1" applyProtection="1">
      <alignment/>
      <protection/>
    </xf>
    <xf numFmtId="0" fontId="18" fillId="40" borderId="0" xfId="42" applyNumberFormat="1" applyFont="1" applyFill="1" applyBorder="1" applyAlignment="1" applyProtection="1">
      <alignment/>
      <protection/>
    </xf>
    <xf numFmtId="0" fontId="0" fillId="34" borderId="10" xfId="0" applyFill="1" applyBorder="1" applyAlignment="1">
      <alignment wrapText="1"/>
    </xf>
    <xf numFmtId="0" fontId="0" fillId="41" borderId="19" xfId="0" applyFill="1" applyBorder="1" applyAlignment="1">
      <alignment/>
    </xf>
    <xf numFmtId="0" fontId="0" fillId="42" borderId="19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5" borderId="10" xfId="0" applyFill="1" applyBorder="1" applyAlignment="1" quotePrefix="1">
      <alignment horizontal="center" wrapText="1"/>
    </xf>
    <xf numFmtId="1" fontId="0" fillId="35" borderId="10" xfId="0" applyNumberFormat="1" applyFill="1" applyBorder="1" applyAlignment="1">
      <alignment horizontal="center" wrapText="1"/>
    </xf>
    <xf numFmtId="0" fontId="0" fillId="41" borderId="19" xfId="0" applyFill="1" applyBorder="1" applyAlignment="1">
      <alignment/>
    </xf>
    <xf numFmtId="0" fontId="0" fillId="42" borderId="19" xfId="0" applyFill="1" applyBorder="1" applyAlignment="1">
      <alignment/>
    </xf>
    <xf numFmtId="0" fontId="0" fillId="34" borderId="10" xfId="0" applyFill="1" applyBorder="1" applyAlignment="1">
      <alignment/>
    </xf>
    <xf numFmtId="1" fontId="0" fillId="43" borderId="10" xfId="0" applyNumberFormat="1" applyFill="1" applyBorder="1" applyAlignment="1">
      <alignment/>
    </xf>
    <xf numFmtId="0" fontId="0" fillId="0" borderId="0" xfId="0" applyBorder="1" applyAlignment="1">
      <alignment vertical="top"/>
    </xf>
    <xf numFmtId="0" fontId="0" fillId="34" borderId="10" xfId="0" applyFill="1" applyBorder="1" applyAlignment="1">
      <alignment horizontal="left"/>
    </xf>
    <xf numFmtId="0" fontId="0" fillId="44" borderId="19" xfId="0" applyFill="1" applyBorder="1" applyAlignment="1">
      <alignment/>
    </xf>
    <xf numFmtId="0" fontId="0" fillId="34" borderId="10" xfId="0" applyFill="1" applyBorder="1" applyAlignment="1">
      <alignment vertical="top" wrapText="1"/>
    </xf>
    <xf numFmtId="0" fontId="0" fillId="45" borderId="19" xfId="0" applyFill="1" applyBorder="1" applyAlignment="1">
      <alignment/>
    </xf>
    <xf numFmtId="0" fontId="0" fillId="34" borderId="14" xfId="0" applyFont="1" applyFill="1" applyBorder="1" applyAlignment="1">
      <alignment wrapText="1"/>
    </xf>
    <xf numFmtId="0" fontId="0" fillId="34" borderId="11" xfId="0" applyFill="1" applyBorder="1" applyAlignment="1">
      <alignment vertical="top"/>
    </xf>
    <xf numFmtId="0" fontId="0" fillId="34" borderId="19" xfId="0" applyFill="1" applyBorder="1" applyAlignment="1">
      <alignment wrapText="1"/>
    </xf>
    <xf numFmtId="0" fontId="0" fillId="0" borderId="19" xfId="0" applyBorder="1" applyAlignment="1">
      <alignment/>
    </xf>
    <xf numFmtId="0" fontId="0" fillId="46" borderId="10" xfId="0" applyFont="1" applyFill="1" applyBorder="1" applyAlignment="1">
      <alignment wrapText="1"/>
    </xf>
    <xf numFmtId="0" fontId="56" fillId="0" borderId="0" xfId="42" applyFont="1" applyAlignment="1">
      <alignment/>
    </xf>
    <xf numFmtId="0" fontId="0" fillId="42" borderId="20" xfId="0" applyFill="1" applyBorder="1" applyAlignment="1">
      <alignment/>
    </xf>
    <xf numFmtId="0" fontId="57" fillId="47" borderId="19" xfId="0" applyFont="1" applyFill="1" applyBorder="1" applyAlignment="1">
      <alignment wrapText="1"/>
    </xf>
    <xf numFmtId="0" fontId="56" fillId="44" borderId="0" xfId="42" applyFont="1" applyFill="1" applyAlignment="1">
      <alignment/>
    </xf>
    <xf numFmtId="0" fontId="0" fillId="44" borderId="0" xfId="0" applyFill="1" applyAlignment="1">
      <alignment/>
    </xf>
    <xf numFmtId="0" fontId="0" fillId="34" borderId="14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48" borderId="1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worksheet" Target="worksheets/sheet296.xml" /><Relationship Id="rId297" Type="http://schemas.openxmlformats.org/officeDocument/2006/relationships/worksheet" Target="worksheets/sheet297.xml" /><Relationship Id="rId298" Type="http://schemas.openxmlformats.org/officeDocument/2006/relationships/worksheet" Target="worksheets/sheet298.xml" /><Relationship Id="rId299" Type="http://schemas.openxmlformats.org/officeDocument/2006/relationships/worksheet" Target="worksheets/sheet299.xml" /><Relationship Id="rId300" Type="http://schemas.openxmlformats.org/officeDocument/2006/relationships/styles" Target="styles.xml" /><Relationship Id="rId301" Type="http://schemas.openxmlformats.org/officeDocument/2006/relationships/sharedStrings" Target="sharedStrings.xml" /><Relationship Id="rId30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Laxative-Cleanse-100-Veggie-Caps/39372" TargetMode="External" /></Relationships>
</file>

<file path=xl/worksheets/_rels/sheet17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anti-frizz-serum-2-fl-oz-59-ml/53015" TargetMode="External" /><Relationship Id="rId2" Type="http://schemas.openxmlformats.org/officeDocument/2006/relationships/hyperlink" Target="http://www.iherb.com/Hyalogic-LLC-Episilk-Lip-Balm-with-Hyaluronic-Acid-1-2-fl-oz-14-g/38457" TargetMode="External" /></Relationships>
</file>

<file path=xl/worksheets/_rels/sheet18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California-Gold-Nutrition-Spirulina-500-mg-60-Tablets/48403" TargetMode="External" /><Relationship Id="rId2" Type="http://schemas.openxmlformats.org/officeDocument/2006/relationships/hyperlink" Target="http://www.iherb.com/iHerb-Goods-Stainless-Steel-Snap-Mesh-Tea-Infuser/50822" TargetMode="External" /><Relationship Id="rId3" Type="http://schemas.openxmlformats.org/officeDocument/2006/relationships/hyperlink" Target="http://www.iherb.com/Now-Foods-Better-Stevia-Liquid-Sweetener-French-Vanilla-2-fl-oz-60-ml/16558" TargetMode="External" /><Relationship Id="rId4" Type="http://schemas.openxmlformats.org/officeDocument/2006/relationships/hyperlink" Target="http://www.iherb.com/Now-Foods-Better-Stevia-Liquid-Sweetener-Dark-Chocolate-2-fl-oz-60-ml/16571" TargetMode="External" /><Relationship Id="rId5" Type="http://schemas.openxmlformats.org/officeDocument/2006/relationships/hyperlink" Target="http://www.iherb.com/iHerb-Goods-Magnifier-with-LED-Light/55640" TargetMode="External" /><Relationship Id="rId6" Type="http://schemas.openxmlformats.org/officeDocument/2006/relationships/hyperlink" Target="http://www.iherb.com/Now-Foods-Better-Stevia-Liquid-Sweetener-Glycerite-Alcohol-Free-2-fl-oz-60-ml/862" TargetMode="External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outh-of-France-Lemon-Verbena-Hand-Wash-with-Soothing-Aloe-Vera-8-oz-236-ml/54928" TargetMode="External" /></Relationships>
</file>

<file path=xl/worksheets/_rels/sheet19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rnard-Jensen-s-Chlorophyll-Natural-Flavor-16-fl-oz-474-ml/5723" TargetMode="External" /></Relationships>
</file>

<file path=xl/worksheets/_rels/sheet19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product-reviews/FutureBiotics-The-30-Day-Beauty-Secret-30-Packets/3632/?p=1" TargetMode="External" /><Relationship Id="rId2" Type="http://schemas.openxmlformats.org/officeDocument/2006/relationships/hyperlink" Target="http://ru.iherb.com/Thayers-Rose-Petal-Witch-Hazel-with-Aloe-Vera-Formula-Alcohol-Free-Toner-12-fl-oz-355-ml/6792" TargetMode="External" /></Relationships>
</file>

<file path=xl/worksheets/_rels/sheet19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Thayers-Rose-Petal-Witch-Hazel-with-Aloe-Vera-Formula-Alcohol-Free-Toner-12-fl-oz-355-ml/6792/?p=1" TargetMode="External" /><Relationship Id="rId2" Type="http://schemas.openxmlformats.org/officeDocument/2006/relationships/hyperlink" Target="http://ru.iherb.com/product-reviews/Real-Techniques-by-Samantha-Chapman-Miracle-Complexion-Sponge-1-Sponge/52027/?p=1&#160;" TargetMode="External" /><Relationship Id="rId3" Type="http://schemas.openxmlformats.org/officeDocument/2006/relationships/hyperlink" Target="http://www.iherb.com/Jason-Natural-100-Organic-Oil-Tea-Tree-1-fl-oz-30-ml/19476#p=1&amp;oos=1&amp;disc=0&amp;lc=en-US&amp;w=Jason%20Purifying%20Tea%20Tree%20100%25%20Organic%20Oil&amp;rc=292&amp;sr=null&amp;ic=1%20" TargetMode="External" /><Relationship Id="rId4" Type="http://schemas.openxmlformats.org/officeDocument/2006/relationships/hyperlink" Target="http://www.iherb.com/Jason-Natural-Nail-Saver-Tea-Tree-0-5-fl-oz-15-ml/6237" TargetMode="External" /><Relationship Id="rId5" Type="http://schemas.openxmlformats.org/officeDocument/2006/relationships/hyperlink" Target="http://www.iherb.com/Port-Trading-Co-J-R-Rooibos-Red-Tea-Caffeine-Free-20-Tea-Bags-1-765-oz-50-g/23775" TargetMode="External" /></Relationships>
</file>

<file path=xl/worksheets/_rels/sheet20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South-of-France-Mango-French-Milled-Bar-Soap-8-oz-227-g/14397/?p=1" TargetMode="External" /><Relationship Id="rId2" Type="http://schemas.openxmlformats.org/officeDocument/2006/relationships/hyperlink" Target="http://ru.iherb.com/product-reviews/South-of-France-French-Milled-Bar-Soap-Magnolia-Pear-8-oz-227-g/44961/?p=1" TargetMode="External" /></Relationships>
</file>

<file path=xl/worksheets/_rels/sheet20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23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California-Gold-Nutrition-Daily-Vits-Mins-30-Tablets/57116" TargetMode="External" /><Relationship Id="rId2" Type="http://schemas.openxmlformats.org/officeDocument/2006/relationships/hyperlink" Target="http://www.iherb.com/Source-Naturals-Skin-Eternal-Cream-2-oz-56-7-g/22378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iHerb-Promotional-Materials-Day-Night-Pill-Organizer/57481" TargetMode="External" /></Relationships>
</file>

<file path=xl/worksheets/_rels/sheet24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Tom-s-of-Maine-Natural-Children-s-Fluoride-Toothpaste-Outrageous-Orange-Mango-4-2-oz-119-g/56255" TargetMode="External" /></Relationships>
</file>

<file path=xl/worksheets/_rels/sheet28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th-of-France-Climbing-Wild-Rose-French-Milled-Oval-Soap-with-Organic-Shea-Butter-6-oz-170-g/54918" TargetMode="External" /><Relationship Id="rId2" Type="http://schemas.openxmlformats.org/officeDocument/2006/relationships/hyperlink" Target="http://www.iherb.com/South-of-France-Herbes-De-Provence-French-Milled-Oval-Soap-with-Organic-Shea-Butter-6-oz-170-g/54924" TargetMode="External" /></Relationships>
</file>

<file path=xl/worksheets/_rels/sheet28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Eyebrow-Kit-Gel-Powder-Ash-0-123-oz-3-5-g/53934" TargetMode="External" /><Relationship Id="rId2" Type="http://schemas.openxmlformats.org/officeDocument/2006/relationships/hyperlink" Target="http://ru.iherb.com/Yogi-Tea-Stress-Relief-Caffeine-Free-Honey-Lavender-16-Tea-Bags-1-02-oz-29-g/41988" TargetMode="External" /></Relationships>
</file>

<file path=xl/worksheets/_rels/sheet28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-Moisture-Shampoo-8-5-fl-oz-250-ml/6419" TargetMode="External" /></Relationships>
</file>

<file path=xl/worksheets/_rels/sheet2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nda-Licorice-Soft-Licorice-7-oz-200-g/30288" TargetMode="External" /><Relationship Id="rId2" Type="http://schemas.openxmlformats.org/officeDocument/2006/relationships/hyperlink" Target="http://ru.iherb.com/21st-Century-Health-Care-Cal-Mag-Zinc-D-90-Tablets/10695" TargetMode="External" /><Relationship Id="rId3" Type="http://schemas.openxmlformats.org/officeDocument/2006/relationships/hyperlink" Target="http://www.iherb.com/Mineral-Fusion-Minerals-on-a-Mission-Nail-Lacquer-Blushing-Crystal-0-33-fl-oz-10-ml/50057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6"/>
  <sheetViews>
    <sheetView tabSelected="1" zoomScale="90" zoomScaleNormal="90" zoomScalePageLayoutView="0" workbookViewId="0" topLeftCell="A194">
      <selection activeCell="G203" sqref="G203"/>
    </sheetView>
  </sheetViews>
  <sheetFormatPr defaultColWidth="9.140625" defaultRowHeight="15"/>
  <cols>
    <col min="1" max="1" width="17.8515625" style="0" customWidth="1"/>
    <col min="2" max="2" width="17.28125" style="0" customWidth="1"/>
    <col min="3" max="3" width="34.8515625" style="1" customWidth="1"/>
    <col min="4" max="4" width="25.7109375" style="0" customWidth="1"/>
  </cols>
  <sheetData>
    <row r="1" spans="1:4" ht="30">
      <c r="A1" s="2" t="s">
        <v>0</v>
      </c>
      <c r="B1" s="3" t="s">
        <v>1</v>
      </c>
      <c r="C1" s="3" t="s">
        <v>2</v>
      </c>
      <c r="D1" s="4" t="s">
        <v>3</v>
      </c>
    </row>
    <row r="2" spans="1:4" ht="15">
      <c r="A2" s="5">
        <v>1445</v>
      </c>
      <c r="B2" s="6">
        <f>'206'!G6</f>
        <v>3.787600801603162</v>
      </c>
      <c r="C2" s="7">
        <v>206</v>
      </c>
      <c r="D2" s="8" t="s">
        <v>4</v>
      </c>
    </row>
    <row r="3" spans="1:3" ht="15">
      <c r="A3" s="9" t="s">
        <v>5</v>
      </c>
      <c r="B3" s="6">
        <f>'54'!G4</f>
        <v>2.2007218045112893</v>
      </c>
      <c r="C3" s="7">
        <v>54</v>
      </c>
    </row>
    <row r="4" spans="1:3" ht="15">
      <c r="A4" s="9" t="s">
        <v>6</v>
      </c>
      <c r="B4" s="6">
        <f>'237'!G8</f>
        <v>-0.011783783783585022</v>
      </c>
      <c r="C4" s="7">
        <v>237</v>
      </c>
    </row>
    <row r="5" spans="1:3" ht="15">
      <c r="A5" s="9" t="s">
        <v>7</v>
      </c>
      <c r="B5" s="6">
        <f>'237'!G7+'298'!G4</f>
        <v>-9.761649698494466</v>
      </c>
      <c r="C5" s="7" t="s">
        <v>639</v>
      </c>
    </row>
    <row r="6" spans="1:4" ht="15">
      <c r="A6" s="9" t="s">
        <v>8</v>
      </c>
      <c r="B6" s="6">
        <f>'188'!G5</f>
        <v>14.405001486988795</v>
      </c>
      <c r="C6" s="7">
        <v>188</v>
      </c>
      <c r="D6" s="4"/>
    </row>
    <row r="7" spans="1:4" ht="15">
      <c r="A7" s="9" t="s">
        <v>9</v>
      </c>
      <c r="B7" s="6">
        <f>'230'!G4</f>
        <v>0.7003382022471669</v>
      </c>
      <c r="C7" s="7">
        <v>230</v>
      </c>
      <c r="D7" s="4"/>
    </row>
    <row r="8" spans="1:4" ht="15">
      <c r="A8" s="9" t="s">
        <v>10</v>
      </c>
      <c r="B8" s="6">
        <f>'161'!G4</f>
        <v>2.1539056179775002</v>
      </c>
      <c r="C8" s="7">
        <v>161</v>
      </c>
      <c r="D8" s="4"/>
    </row>
    <row r="9" spans="1:4" ht="15">
      <c r="A9" s="9" t="s">
        <v>11</v>
      </c>
      <c r="B9" s="6">
        <f>'199'!G5</f>
        <v>-0.4853876731580158</v>
      </c>
      <c r="C9" s="7">
        <v>199</v>
      </c>
      <c r="D9" s="4"/>
    </row>
    <row r="10" spans="1:4" ht="15">
      <c r="A10" s="9" t="s">
        <v>524</v>
      </c>
      <c r="B10" s="6">
        <f>'262'!G5+'284'!G5</f>
        <v>-0.446910780669441</v>
      </c>
      <c r="C10" s="7" t="s">
        <v>578</v>
      </c>
      <c r="D10" s="4"/>
    </row>
    <row r="11" spans="1:4" ht="15">
      <c r="A11" s="9" t="s">
        <v>12</v>
      </c>
      <c r="B11" s="6">
        <f>'40'!G5+'44'!G4</f>
        <v>8.462526865671549</v>
      </c>
      <c r="C11" s="7" t="s">
        <v>13</v>
      </c>
      <c r="D11" s="4"/>
    </row>
    <row r="12" spans="1:4" ht="15">
      <c r="A12" s="9" t="s">
        <v>14</v>
      </c>
      <c r="B12" s="6">
        <f>'71'!G7</f>
        <v>0.40062222222218224</v>
      </c>
      <c r="C12" s="7">
        <v>71</v>
      </c>
      <c r="D12" s="4"/>
    </row>
    <row r="13" spans="1:4" ht="15">
      <c r="A13" s="9" t="s">
        <v>15</v>
      </c>
      <c r="B13" s="6">
        <f>'77'!G6</f>
        <v>-0.09688888888888414</v>
      </c>
      <c r="C13" s="7">
        <v>77</v>
      </c>
      <c r="D13" s="4"/>
    </row>
    <row r="14" spans="1:3" ht="15">
      <c r="A14" s="9" t="s">
        <v>16</v>
      </c>
      <c r="B14" s="6">
        <f>7!G5+'11'!G7+'12'!G4+'13'!G4+'59'!G4+'91'!G6+'95'!G7</f>
        <v>0.12710539138586796</v>
      </c>
      <c r="C14" s="7" t="s">
        <v>17</v>
      </c>
    </row>
    <row r="15" spans="1:3" ht="15">
      <c r="A15" s="9" t="s">
        <v>18</v>
      </c>
      <c r="B15" s="6">
        <f>'124'!G4</f>
        <v>2.463458823529436</v>
      </c>
      <c r="C15" s="7">
        <v>124</v>
      </c>
    </row>
    <row r="16" spans="1:4" ht="33" customHeight="1">
      <c r="A16" s="9" t="s">
        <v>19</v>
      </c>
      <c r="B16" s="6">
        <f>'103'!G6+'178'!G5+'191'!G4+'206'!G5+'212'!G5+'214'!G7+'215'!G7+'243'!G9+'247'!G4+'254'!G5+'258'!G6+'284'!G6+'288'!G6+'298'!G6</f>
        <v>-24.39601519839738</v>
      </c>
      <c r="C16" s="7" t="s">
        <v>640</v>
      </c>
      <c r="D16" s="4"/>
    </row>
    <row r="17" spans="1:3" ht="15">
      <c r="A17" s="9" t="s">
        <v>20</v>
      </c>
      <c r="B17" s="6">
        <f>'14'!G5</f>
        <v>-0.23710553505520693</v>
      </c>
      <c r="C17" s="7">
        <v>14</v>
      </c>
    </row>
    <row r="18" spans="1:3" ht="15">
      <c r="A18" s="9" t="s">
        <v>21</v>
      </c>
      <c r="B18" s="6">
        <f>'72'!G6</f>
        <v>-0.24495762081784278</v>
      </c>
      <c r="C18" s="7">
        <v>72</v>
      </c>
    </row>
    <row r="19" spans="1:3" ht="15">
      <c r="A19" s="9" t="s">
        <v>22</v>
      </c>
      <c r="B19" s="6">
        <f>'79'!G4+'121'!G4+'152'!G5</f>
        <v>16.495768856556595</v>
      </c>
      <c r="C19" s="7" t="s">
        <v>23</v>
      </c>
    </row>
    <row r="20" spans="1:3" ht="15">
      <c r="A20" s="100" t="s">
        <v>573</v>
      </c>
      <c r="B20" s="6">
        <f>'282'!G4</f>
        <v>-2.7044179104477735</v>
      </c>
      <c r="C20" s="7">
        <v>282</v>
      </c>
    </row>
    <row r="21" spans="1:3" ht="15">
      <c r="A21" s="9" t="s">
        <v>24</v>
      </c>
      <c r="B21" s="6">
        <f>'81'!G4+'82'!G7+'85'!G7+'90'!G5+'111'!G6+'299'!G5</f>
        <v>-189.6510012665105</v>
      </c>
      <c r="C21" s="7" t="s">
        <v>646</v>
      </c>
    </row>
    <row r="22" spans="1:3" ht="57" customHeight="1">
      <c r="A22" s="9" t="s">
        <v>25</v>
      </c>
      <c r="B22" s="6">
        <f>'51'!G5+'65'!G6+'83'!G7+'84'!G5+'87'!G5+'88'!G7+'100'!G6+'113'!G5+'123'!G5+'134'!G5+'142'!G9+'151'!G6+'160'!G5+'168'!G7+'186'!G6+'187'!G5+'199'!G8+'200'!G10+'202'!G6+'207'!G7+'230'!G5+'239'!G5+'260'!G6+'279'!G8+'291'!G7+'299'!G9</f>
        <v>-34.258225566272046</v>
      </c>
      <c r="C22" s="7" t="s">
        <v>647</v>
      </c>
    </row>
    <row r="23" spans="1:3" ht="15">
      <c r="A23" s="100" t="s">
        <v>634</v>
      </c>
      <c r="B23" s="6">
        <f>'298'!G5</f>
        <v>-13.186543820224756</v>
      </c>
      <c r="C23" s="7">
        <v>298</v>
      </c>
    </row>
    <row r="24" spans="1:3" ht="18.75" customHeight="1">
      <c r="A24" s="9" t="s">
        <v>26</v>
      </c>
      <c r="B24" s="6">
        <f>'235'!G6</f>
        <v>1.1187952029520147</v>
      </c>
      <c r="C24" s="7">
        <v>235</v>
      </c>
    </row>
    <row r="25" spans="1:3" ht="15">
      <c r="A25" s="9" t="s">
        <v>27</v>
      </c>
      <c r="B25" s="6">
        <f>'60'!G4+'175'!G7</f>
        <v>0.6547684387053891</v>
      </c>
      <c r="C25" s="7" t="s">
        <v>28</v>
      </c>
    </row>
    <row r="26" spans="1:3" ht="15">
      <c r="A26" s="9" t="s">
        <v>29</v>
      </c>
      <c r="B26" s="6">
        <f>'238'!G4</f>
        <v>2.027686988847563</v>
      </c>
      <c r="C26" s="7">
        <v>238</v>
      </c>
    </row>
    <row r="27" spans="1:3" ht="14.25" customHeight="1">
      <c r="A27" s="9" t="s">
        <v>30</v>
      </c>
      <c r="B27" s="6">
        <f>'215'!G6</f>
        <v>0.10172406639003384</v>
      </c>
      <c r="C27" s="7">
        <v>215</v>
      </c>
    </row>
    <row r="28" spans="1:3" ht="14.25" customHeight="1">
      <c r="A28" s="9" t="s">
        <v>31</v>
      </c>
      <c r="B28" s="6">
        <f>'221'!G4+'232'!G4</f>
        <v>6.931909707939212</v>
      </c>
      <c r="C28" s="10">
        <v>221232</v>
      </c>
    </row>
    <row r="29" spans="1:3" ht="15">
      <c r="A29" s="9" t="s">
        <v>32</v>
      </c>
      <c r="B29" s="6">
        <f>'207'!G9</f>
        <v>-3.369498985801158</v>
      </c>
      <c r="C29" s="7">
        <v>207</v>
      </c>
    </row>
    <row r="30" spans="1:3" ht="15">
      <c r="A30" s="9" t="s">
        <v>33</v>
      </c>
      <c r="B30" s="6">
        <f>'196'!G5+'198'!G4</f>
        <v>0.27408328358202994</v>
      </c>
      <c r="C30" s="7" t="s">
        <v>34</v>
      </c>
    </row>
    <row r="31" spans="1:3" ht="15">
      <c r="A31" s="9" t="s">
        <v>35</v>
      </c>
      <c r="B31" s="6">
        <f>'104'!G6</f>
        <v>9.136743911439112</v>
      </c>
      <c r="C31" s="7">
        <v>104</v>
      </c>
    </row>
    <row r="32" spans="1:3" ht="36.75" customHeight="1">
      <c r="A32" s="11" t="s">
        <v>36</v>
      </c>
      <c r="B32" s="6">
        <f>'19'!G5+'21'!G6+'41'!G4+'43'!G4+'46'!G8+'128'!G5+'172'!G8+'176'!G4+'194'!G4+'205'!G6</f>
        <v>0.08202564421873149</v>
      </c>
      <c r="C32" s="7" t="s">
        <v>37</v>
      </c>
    </row>
    <row r="33" spans="1:3" ht="15">
      <c r="A33" s="9" t="s">
        <v>38</v>
      </c>
      <c r="B33" s="6">
        <f>'147'!G6+'151'!G4+'282'!G5+'288'!G9</f>
        <v>0.6583511187179028</v>
      </c>
      <c r="C33" s="7" t="s">
        <v>601</v>
      </c>
    </row>
    <row r="34" spans="1:3" ht="15">
      <c r="A34" s="100" t="s">
        <v>644</v>
      </c>
      <c r="B34" s="6">
        <f>'299'!G4</f>
        <v>-12.13943887775551</v>
      </c>
      <c r="C34" s="7">
        <v>299</v>
      </c>
    </row>
    <row r="35" spans="1:3" ht="15">
      <c r="A35" s="9" t="s">
        <v>496</v>
      </c>
      <c r="B35" s="6">
        <f>'247'!G7+'257'!G7</f>
        <v>-0.07607591023634086</v>
      </c>
      <c r="C35" s="7" t="s">
        <v>514</v>
      </c>
    </row>
    <row r="36" spans="1:3" ht="15">
      <c r="A36" s="9" t="s">
        <v>39</v>
      </c>
      <c r="B36" s="6">
        <f>'180'!G8+'186'!G8+'232'!G5</f>
        <v>10.469532218285849</v>
      </c>
      <c r="C36" s="7" t="s">
        <v>40</v>
      </c>
    </row>
    <row r="37" spans="1:3" ht="15">
      <c r="A37" s="11" t="s">
        <v>41</v>
      </c>
      <c r="B37" s="6">
        <f>'74'!G5+'89'!G5+'101'!G4+'198'!G11+'199'!G7</f>
        <v>-3.2036740230482224</v>
      </c>
      <c r="C37" s="7" t="s">
        <v>42</v>
      </c>
    </row>
    <row r="38" spans="1:3" ht="15">
      <c r="A38" s="11" t="s">
        <v>43</v>
      </c>
      <c r="B38" s="6">
        <f>'39'!G5+'44'!G7+'65'!G5+'83'!G5+'85'!G5+'94'!G7+'164'!G4+'255'!G4</f>
        <v>2794.306613841951</v>
      </c>
      <c r="C38" s="7" t="s">
        <v>516</v>
      </c>
    </row>
    <row r="39" spans="1:3" ht="15">
      <c r="A39" s="9" t="s">
        <v>500</v>
      </c>
      <c r="B39" s="6">
        <f>'251'!G6</f>
        <v>-1.4542921452389237</v>
      </c>
      <c r="C39" s="7">
        <v>251</v>
      </c>
    </row>
    <row r="40" spans="1:3" ht="15">
      <c r="A40" s="11" t="s">
        <v>44</v>
      </c>
      <c r="B40" s="6">
        <f>'231'!G4</f>
        <v>0.3668435424353902</v>
      </c>
      <c r="C40" s="7">
        <v>231</v>
      </c>
    </row>
    <row r="41" spans="1:3" ht="15">
      <c r="A41" s="9" t="s">
        <v>45</v>
      </c>
      <c r="B41" s="6">
        <f>'30'!G4</f>
        <v>5.425536479400762</v>
      </c>
      <c r="C41" s="7">
        <v>30</v>
      </c>
    </row>
    <row r="42" spans="1:3" ht="15">
      <c r="A42" s="9" t="s">
        <v>46</v>
      </c>
      <c r="B42" s="6">
        <f>'237'!G5+'239'!G4+'256'!G6</f>
        <v>-0.3889668693219619</v>
      </c>
      <c r="C42" s="7" t="s">
        <v>513</v>
      </c>
    </row>
    <row r="43" spans="1:3" ht="15">
      <c r="A43" s="9" t="s">
        <v>47</v>
      </c>
      <c r="B43" s="6">
        <f>2!G4+'51'!G4+'52'!G4+'82'!G5+'121'!G5</f>
        <v>26.39559369190988</v>
      </c>
      <c r="C43" s="12" t="s">
        <v>48</v>
      </c>
    </row>
    <row r="44" spans="1:3" ht="45.75" customHeight="1">
      <c r="A44" s="9" t="s">
        <v>49</v>
      </c>
      <c r="B44" s="6">
        <f>'115'!G5+'118'!G5+'119'!G4+'120'!G4+'122'!G4+'133'!G7+'172'!G4+'173'!G6+'180'!G7+'185'!G5+'189'!G4+'200'!G4+'201'!G8+'207'!G10+'251'!G5</f>
        <v>-0.33798374530756803</v>
      </c>
      <c r="C44" s="105" t="s">
        <v>502</v>
      </c>
    </row>
    <row r="45" spans="1:3" ht="15">
      <c r="A45" s="9" t="s">
        <v>50</v>
      </c>
      <c r="B45" s="6">
        <f>'221'!G7</f>
        <v>1.518555555555551</v>
      </c>
      <c r="C45" s="12">
        <v>221</v>
      </c>
    </row>
    <row r="46" spans="1:3" ht="15">
      <c r="A46" s="100" t="s">
        <v>549</v>
      </c>
      <c r="B46" s="6">
        <f>'274'!G8</f>
        <v>-5.979216236162358</v>
      </c>
      <c r="C46" s="12">
        <v>274</v>
      </c>
    </row>
    <row r="47" spans="1:3" ht="15">
      <c r="A47" s="9" t="s">
        <v>51</v>
      </c>
      <c r="B47" s="6">
        <f>'241'!G4</f>
        <v>-2.2959328358208495</v>
      </c>
      <c r="C47" s="12">
        <v>240</v>
      </c>
    </row>
    <row r="48" spans="1:3" ht="15">
      <c r="A48" s="9" t="s">
        <v>52</v>
      </c>
      <c r="B48" s="6">
        <f>'238'!G6</f>
        <v>0.6924869888476053</v>
      </c>
      <c r="C48" s="7">
        <v>238</v>
      </c>
    </row>
    <row r="49" spans="1:3" ht="15">
      <c r="A49" s="100" t="s">
        <v>581</v>
      </c>
      <c r="B49" s="6">
        <f>'284.1'!G4+'286'!G5+'292'!G6</f>
        <v>72.94088755020084</v>
      </c>
      <c r="C49" s="7" t="s">
        <v>614</v>
      </c>
    </row>
    <row r="50" spans="1:3" ht="15">
      <c r="A50" s="100" t="s">
        <v>590</v>
      </c>
      <c r="B50" s="6">
        <f>'288'!G12</f>
        <v>0.08928686868694058</v>
      </c>
      <c r="C50" s="7">
        <v>288</v>
      </c>
    </row>
    <row r="51" spans="1:3" ht="15">
      <c r="A51" s="9" t="s">
        <v>53</v>
      </c>
      <c r="B51" s="6">
        <f>'26'!G4+'27'!G4+'28'!G4</f>
        <v>100.37307145472573</v>
      </c>
      <c r="C51" s="12" t="s">
        <v>54</v>
      </c>
    </row>
    <row r="52" spans="1:3" ht="15">
      <c r="A52" s="100" t="s">
        <v>598</v>
      </c>
      <c r="B52" s="6">
        <f>'289'!G9</f>
        <v>0.5023836734693532</v>
      </c>
      <c r="C52" s="12">
        <v>289</v>
      </c>
    </row>
    <row r="53" spans="1:3" ht="15">
      <c r="A53" s="9" t="s">
        <v>583</v>
      </c>
      <c r="B53" s="6">
        <f>'286'!G7+'288'!G10+'296'!G4</f>
        <v>-4.340805964751127</v>
      </c>
      <c r="C53" s="105" t="s">
        <v>626</v>
      </c>
    </row>
    <row r="54" spans="1:3" ht="15">
      <c r="A54" s="9" t="s">
        <v>618</v>
      </c>
      <c r="B54" s="6">
        <f>'294'!G4</f>
        <v>0.2011977528090938</v>
      </c>
      <c r="C54" s="105">
        <v>294</v>
      </c>
    </row>
    <row r="55" spans="1:3" ht="15">
      <c r="A55" s="100" t="s">
        <v>527</v>
      </c>
      <c r="B55" s="6">
        <f>'264'!G4</f>
        <v>78.86924328358211</v>
      </c>
      <c r="C55" s="12">
        <v>264</v>
      </c>
    </row>
    <row r="56" spans="1:3" ht="15">
      <c r="A56" s="9" t="s">
        <v>55</v>
      </c>
      <c r="B56" s="6">
        <f>'177'!G5+'186'!G7+'187'!G6+'291'!G5+'294'!G6</f>
        <v>-0.10365303318036467</v>
      </c>
      <c r="C56" s="105" t="s">
        <v>619</v>
      </c>
    </row>
    <row r="57" spans="1:3" ht="46.5" customHeight="1">
      <c r="A57" s="9" t="s">
        <v>56</v>
      </c>
      <c r="B57" s="6">
        <f>'15'!G5+'16'!G4+'21'!G5+'25'!G5+'28'!G5+'32'!G5+'34'!G4+'35'!G7+'40'!G7+'54'!G7+'58'!G5+'61'!G4+'66'!G6+'69'!G5+'75'!G4+'112'!G6+'142'!G6+'143'!G4+'169'!G4+'198'!G8+'200'!G9+'202'!G7+'234'!G6+'235'!G7+'241'!G7+'257'!G4+'273'!G5+'274'!G4</f>
        <v>-0.28449137599250207</v>
      </c>
      <c r="C57" s="105" t="s">
        <v>553</v>
      </c>
    </row>
    <row r="58" spans="1:3" ht="15">
      <c r="A58" s="9" t="s">
        <v>57</v>
      </c>
      <c r="B58" s="6">
        <f>'159'!G6+'170'!G4</f>
        <v>6.806824354243645</v>
      </c>
      <c r="C58" s="12" t="s">
        <v>58</v>
      </c>
    </row>
    <row r="59" spans="1:3" ht="45.75" customHeight="1">
      <c r="A59" s="9" t="s">
        <v>59</v>
      </c>
      <c r="B59" s="6">
        <f>4!G5+7!G4+'11'!G4+'12'!G6+'30'!G5+'35'!G5+'82'!G8+'89'!G6+'95'!G5+'99'!G6+'113'!G4+'114'!G5+'150'!G4+'162'!G4+'184'!G6+'203'!G4+'205'!G5+'215'!G8+'233'!G5</f>
        <v>-11.461335181175002</v>
      </c>
      <c r="C59" s="7" t="s">
        <v>60</v>
      </c>
    </row>
    <row r="60" spans="1:3" ht="15">
      <c r="A60" s="9" t="s">
        <v>61</v>
      </c>
      <c r="B60" s="6">
        <f>'67'!G5+'68'!G4+'86'!G6+'87'!G4+'105'!G5+'107'!G5+'108'!G4</f>
        <v>-54.13885924777935</v>
      </c>
      <c r="C60" s="7" t="s">
        <v>62</v>
      </c>
    </row>
    <row r="61" spans="1:3" ht="15">
      <c r="A61" s="100" t="s">
        <v>611</v>
      </c>
      <c r="B61" s="6">
        <f>'290'!G4+'296'!G7</f>
        <v>79.9922471910113</v>
      </c>
      <c r="C61" s="7" t="s">
        <v>629</v>
      </c>
    </row>
    <row r="62" spans="1:3" ht="15">
      <c r="A62" s="9" t="s">
        <v>63</v>
      </c>
      <c r="B62" s="6">
        <f>'112'!G5+'142'!G5+'163'!G6+'168'!G4+'194'!G5</f>
        <v>4.41264931842602</v>
      </c>
      <c r="C62" s="7" t="s">
        <v>64</v>
      </c>
    </row>
    <row r="63" spans="1:3" ht="60.75" customHeight="1">
      <c r="A63" s="9" t="s">
        <v>65</v>
      </c>
      <c r="B63" s="6">
        <f>'51'!G6+'57'!G5+'62'!G7+'65'!G4+'66'!G7+'67'!G4+'68'!G5+'70'!G6+'79'!G8+'84'!G4+'88'!G4+'90'!G4+'91'!G5+'92'!G7+'96'!G4+'97'!G5+'101'!G7+'117'!G4+'119'!G5+'128'!G4+'163'!G5+'170'!G7+'199'!G9+'200'!G6+'203'!G8+'204'!G6+'216'!G5</f>
        <v>-10.745266261487131</v>
      </c>
      <c r="C63" s="7" t="s">
        <v>66</v>
      </c>
    </row>
    <row r="64" spans="1:3" ht="44.25" customHeight="1">
      <c r="A64" s="9" t="s">
        <v>67</v>
      </c>
      <c r="B64" s="6">
        <f>'107'!G6+'108'!G5+'129'!G4+'130'!G4+'131'!G4+'143'!G5+'144'!G4+'149'!G6+'162'!G5+'169'!G5+'183'!G5+'208'!G4+'209'!G4+'210'!G4+'213'!G4+'223'!G4+'224'!G4+'225'!G5+'246'!G6+'249'!G5+'250'!G4+'252'!G4+'253'!G4+'254'!G6</f>
        <v>-69.21476560394012</v>
      </c>
      <c r="C64" s="7" t="s">
        <v>508</v>
      </c>
    </row>
    <row r="65" spans="1:3" ht="15">
      <c r="A65" s="9" t="s">
        <v>68</v>
      </c>
      <c r="B65" s="6">
        <f>'205'!G8</f>
        <v>1.5424181818181637</v>
      </c>
      <c r="C65" s="7">
        <v>205</v>
      </c>
    </row>
    <row r="66" spans="1:3" ht="62.25" customHeight="1">
      <c r="A66" s="13" t="s">
        <v>69</v>
      </c>
      <c r="B66" s="6">
        <f>9!G5+'10'!G7+'38'!G8+'53'!G6+'57'!G9+'59'!G5+'62'!G6+'63'!G4+'67'!G6+'70'!G5+'71'!G6+'72'!G4+'76'!G6+'80'!G5+'82'!G4+'88'!G6+'94'!G8+'95'!G4+'101'!G5+'103'!G5+'104'!G5+'107'!G4+'118'!G4+'131'!G7+'138'!G5+'169'!G7+'193'!G4+'198'!G5+'266'!G4</f>
        <v>-17.4280155446271</v>
      </c>
      <c r="C66" s="7" t="s">
        <v>533</v>
      </c>
    </row>
    <row r="67" spans="1:3" ht="15">
      <c r="A67" s="9" t="s">
        <v>70</v>
      </c>
      <c r="B67" s="6">
        <f>'31'!G5+'33'!G4+'45'!G5+'46'!G4+'54'!G8+'226'!G4</f>
        <v>6.445296795318825</v>
      </c>
      <c r="C67" s="7" t="s">
        <v>71</v>
      </c>
    </row>
    <row r="68" spans="1:3" ht="15">
      <c r="A68" s="9" t="s">
        <v>72</v>
      </c>
      <c r="B68" s="6">
        <f>'173'!G4</f>
        <v>14.026053531598507</v>
      </c>
      <c r="C68" s="7">
        <v>173</v>
      </c>
    </row>
    <row r="69" spans="1:3" ht="43.5" customHeight="1">
      <c r="A69" s="9" t="s">
        <v>73</v>
      </c>
      <c r="B69" s="6">
        <f>2!G5+4!G4+'47'!G4+'56'!G5+'57'!G8+'83'!G4+'86'!G5+'96'!G6+'131'!G9+'176'!G5+'177'!G4+'181'!G4+'186'!G4+'194'!G8+'201'!G5+'207'!G4+'221'!G6+'266'!G6</f>
        <v>-15.99446605313969</v>
      </c>
      <c r="C69" s="105" t="s">
        <v>534</v>
      </c>
    </row>
    <row r="70" spans="1:3" ht="15">
      <c r="A70" s="100" t="s">
        <v>521</v>
      </c>
      <c r="B70" s="6">
        <f>'260'!G5</f>
        <v>1.5234438661710215</v>
      </c>
      <c r="C70" s="12">
        <v>260</v>
      </c>
    </row>
    <row r="71" spans="1:3" ht="15">
      <c r="A71" s="9" t="s">
        <v>74</v>
      </c>
      <c r="B71" s="6">
        <f>'202'!G5</f>
        <v>1.6205894523326378</v>
      </c>
      <c r="C71" s="12">
        <v>202</v>
      </c>
    </row>
    <row r="72" spans="1:3" ht="15">
      <c r="A72" s="9" t="s">
        <v>75</v>
      </c>
      <c r="B72" s="6">
        <f>'142'!G7+'147'!G4+'185'!G6+'187'!G4</f>
        <v>-2.6790087885493676</v>
      </c>
      <c r="C72" s="12" t="s">
        <v>76</v>
      </c>
    </row>
    <row r="73" spans="1:3" ht="15">
      <c r="A73" s="9" t="s">
        <v>77</v>
      </c>
      <c r="B73" s="6">
        <f>'217'!G5</f>
        <v>5.658398795181029</v>
      </c>
      <c r="C73" s="12">
        <v>217</v>
      </c>
    </row>
    <row r="74" spans="1:3" ht="15">
      <c r="A74" s="9" t="s">
        <v>498</v>
      </c>
      <c r="B74" s="6">
        <f>'250'!G5+'289'!G6</f>
        <v>0.5449786171185451</v>
      </c>
      <c r="C74" s="105" t="s">
        <v>604</v>
      </c>
    </row>
    <row r="75" spans="1:3" ht="15">
      <c r="A75" s="100" t="s">
        <v>652</v>
      </c>
      <c r="B75" s="6"/>
      <c r="C75" s="105">
        <v>300</v>
      </c>
    </row>
    <row r="76" spans="1:3" ht="15">
      <c r="A76" s="13" t="s">
        <v>78</v>
      </c>
      <c r="B76" s="6">
        <f>'10'!G6+'12'!G5+'74'!G6+'75'!G5</f>
        <v>0.4704153300190228</v>
      </c>
      <c r="C76" s="7" t="s">
        <v>79</v>
      </c>
    </row>
    <row r="77" spans="1:3" ht="15">
      <c r="A77" s="13" t="s">
        <v>80</v>
      </c>
      <c r="B77" s="6">
        <f>'55'!G6+'62'!G4+'120'!G5+'123'!G6+'216'!G4</f>
        <v>-1.7346101116473278</v>
      </c>
      <c r="C77" s="7" t="s">
        <v>81</v>
      </c>
    </row>
    <row r="78" spans="1:3" ht="15">
      <c r="A78" s="13" t="s">
        <v>82</v>
      </c>
      <c r="B78" s="6">
        <f>'218'!G5+'237'!G6+'260'!G7</f>
        <v>6.965636389397673</v>
      </c>
      <c r="C78" s="7" t="s">
        <v>520</v>
      </c>
    </row>
    <row r="79" spans="1:3" ht="15">
      <c r="A79" s="13" t="s">
        <v>83</v>
      </c>
      <c r="B79" s="6">
        <f>'198'!G7</f>
        <v>0.6148239999999987</v>
      </c>
      <c r="C79" s="7">
        <v>198</v>
      </c>
    </row>
    <row r="80" spans="1:3" ht="42" customHeight="1">
      <c r="A80" s="11" t="s">
        <v>84</v>
      </c>
      <c r="B80" s="6">
        <f>'22'!G6+'24'!G4+'29'!G4+'32'!G6+'50'!G4+'53'!G7+'69'!G4+'70'!G4+'78'!G6+'79'!G7+'107'!G7+'137'!G5+'168'!G5+'173'!G5+'199'!G6+'222'!G6+'251'!G4+'262'!G4+'281'!G9+'298'!G7</f>
        <v>-30.431686517547007</v>
      </c>
      <c r="C80" s="7" t="s">
        <v>641</v>
      </c>
    </row>
    <row r="81" spans="1:3" ht="15">
      <c r="A81" s="9" t="s">
        <v>85</v>
      </c>
      <c r="B81" s="6">
        <f>'112'!G4</f>
        <v>-5.631741176470314</v>
      </c>
      <c r="C81" s="7">
        <v>112</v>
      </c>
    </row>
    <row r="82" spans="1:3" ht="15">
      <c r="A82" s="9" t="s">
        <v>86</v>
      </c>
      <c r="B82" s="6">
        <f>'93'!G5</f>
        <v>3.199847169811335</v>
      </c>
      <c r="C82" s="12">
        <v>93</v>
      </c>
    </row>
    <row r="83" spans="1:3" ht="15">
      <c r="A83" s="100" t="s">
        <v>531</v>
      </c>
      <c r="B83" s="6">
        <f>'266'!G5</f>
        <v>-4.555964179104478</v>
      </c>
      <c r="C83" s="12">
        <v>266</v>
      </c>
    </row>
    <row r="84" spans="1:3" ht="53.25" customHeight="1">
      <c r="A84" s="9" t="s">
        <v>87</v>
      </c>
      <c r="B84" s="6">
        <f>4!G6+8!G5+'25'!G4+'44'!G6+'46'!G9+'66'!G4+'123'!G4+'131'!G8+'137'!G7+'142'!G8+'151'!G5+'160'!G6+'165'!G6+'189'!G5+'195'!G4+'198'!G10+'205'!G10+'217'!G7+'225'!G4+'239'!G6+'274'!G5+'288'!G14+'289'!G4+'296'!G6</f>
        <v>-4.366967818880823</v>
      </c>
      <c r="C84" s="7" t="s">
        <v>628</v>
      </c>
    </row>
    <row r="85" spans="1:3" ht="15">
      <c r="A85" s="9" t="s">
        <v>88</v>
      </c>
      <c r="B85" s="6">
        <f>'100'!G7</f>
        <v>10.616140298507503</v>
      </c>
      <c r="C85" s="7">
        <v>100</v>
      </c>
    </row>
    <row r="86" spans="1:3" ht="15">
      <c r="A86" s="9" t="s">
        <v>89</v>
      </c>
      <c r="B86" s="6">
        <f>'13'!G5+'21'!G10</f>
        <v>6.308341883116952</v>
      </c>
      <c r="C86" s="7" t="s">
        <v>90</v>
      </c>
    </row>
    <row r="87" spans="1:3" ht="15">
      <c r="A87" s="9" t="s">
        <v>91</v>
      </c>
      <c r="B87" s="6">
        <f>'83'!G6+'200'!G7+'297'!G8</f>
        <v>-0.07709664603362398</v>
      </c>
      <c r="C87" s="7" t="s">
        <v>638</v>
      </c>
    </row>
    <row r="88" spans="1:3" ht="15">
      <c r="A88" s="9" t="s">
        <v>92</v>
      </c>
      <c r="B88" s="6">
        <f>'221'!G8</f>
        <v>1.518555555555551</v>
      </c>
      <c r="C88" s="7">
        <v>221</v>
      </c>
    </row>
    <row r="89" spans="1:3" ht="15">
      <c r="A89" s="9" t="s">
        <v>93</v>
      </c>
      <c r="B89" s="6">
        <f>'168'!G6</f>
        <v>-3.9464289962825774</v>
      </c>
      <c r="C89" s="7">
        <v>168</v>
      </c>
    </row>
    <row r="90" spans="1:3" ht="15">
      <c r="A90" s="9" t="s">
        <v>94</v>
      </c>
      <c r="B90" s="6">
        <f>'73'!G5+'129'!G5+'144'!G6+'145'!G5+'168'!G9</f>
        <v>-0.49707272331679064</v>
      </c>
      <c r="C90" s="7" t="s">
        <v>95</v>
      </c>
    </row>
    <row r="91" spans="1:3" ht="30">
      <c r="A91" s="14" t="s">
        <v>96</v>
      </c>
      <c r="B91" s="6">
        <f>'175'!G8+'185'!G7+'201'!G7+'217'!G4+'222'!G7+'233'!G4+'235'!G4+'256'!G4+'264'!G7+'281'!G5+'292'!G4+'294'!G8</f>
        <v>276.8983997615073</v>
      </c>
      <c r="C91" s="7" t="s">
        <v>620</v>
      </c>
    </row>
    <row r="92" spans="1:3" ht="15">
      <c r="A92" s="9" t="s">
        <v>97</v>
      </c>
      <c r="B92" s="6">
        <f>'55'!G4+'60'!G5+'64'!G6+'92'!G5</f>
        <v>11.392819046823462</v>
      </c>
      <c r="C92" s="7" t="s">
        <v>98</v>
      </c>
    </row>
    <row r="93" spans="1:3" ht="15">
      <c r="A93" s="9" t="s">
        <v>99</v>
      </c>
      <c r="B93" s="6">
        <f>'166'!G5</f>
        <v>-11.810529411764662</v>
      </c>
      <c r="C93" s="7">
        <v>166</v>
      </c>
    </row>
    <row r="94" spans="1:3" ht="15">
      <c r="A94" s="9" t="s">
        <v>100</v>
      </c>
      <c r="B94" s="6">
        <f>'104'!G4+'109'!G4+'145'!G4</f>
        <v>0.048184257153934595</v>
      </c>
      <c r="C94" s="7" t="s">
        <v>101</v>
      </c>
    </row>
    <row r="95" spans="1:3" ht="15">
      <c r="A95" s="9" t="s">
        <v>102</v>
      </c>
      <c r="B95" s="6">
        <f>'118'!G7</f>
        <v>0.4382749077490189</v>
      </c>
      <c r="C95" s="7">
        <v>118</v>
      </c>
    </row>
    <row r="96" spans="1:3" ht="15">
      <c r="A96" s="100" t="s">
        <v>605</v>
      </c>
      <c r="B96" s="6">
        <f>'291'!G4+'299'!G7</f>
        <v>-78.1587402672501</v>
      </c>
      <c r="C96" s="7" t="s">
        <v>648</v>
      </c>
    </row>
    <row r="97" spans="1:3" ht="15">
      <c r="A97" s="9" t="s">
        <v>103</v>
      </c>
      <c r="B97" s="6">
        <f>'50'!G5+'54'!G6+'57'!G6</f>
        <v>7.028458140704686</v>
      </c>
      <c r="C97" s="7" t="s">
        <v>104</v>
      </c>
    </row>
    <row r="98" spans="1:3" ht="15">
      <c r="A98" s="9" t="s">
        <v>105</v>
      </c>
      <c r="B98" s="6">
        <f>'93'!G7</f>
        <v>1.584196226415088</v>
      </c>
      <c r="C98" s="7">
        <v>93</v>
      </c>
    </row>
    <row r="99" spans="1:3" ht="15">
      <c r="A99" s="9" t="s">
        <v>495</v>
      </c>
      <c r="B99" s="6">
        <f>'246'!G5+'268'!G5</f>
        <v>-0.4780134577816284</v>
      </c>
      <c r="C99" s="7" t="s">
        <v>542</v>
      </c>
    </row>
    <row r="100" spans="1:3" ht="15">
      <c r="A100" s="9" t="s">
        <v>106</v>
      </c>
      <c r="B100" s="6">
        <f>'165'!G4+'180'!G5+'182'!G7+'185'!G4+'261'!G4+'270'!G4</f>
        <v>-0.6350263094968795</v>
      </c>
      <c r="C100" s="7" t="s">
        <v>543</v>
      </c>
    </row>
    <row r="101" spans="1:3" ht="15">
      <c r="A101" s="9" t="s">
        <v>107</v>
      </c>
      <c r="B101" s="6">
        <f>'224'!G8+'233'!G6</f>
        <v>-8.383227509293675</v>
      </c>
      <c r="C101" s="7" t="s">
        <v>108</v>
      </c>
    </row>
    <row r="102" spans="1:3" ht="15">
      <c r="A102" s="9" t="s">
        <v>109</v>
      </c>
      <c r="B102" s="6">
        <f>'101'!G8</f>
        <v>6.280155555555552</v>
      </c>
      <c r="C102" s="7">
        <v>101</v>
      </c>
    </row>
    <row r="103" spans="1:3" ht="15">
      <c r="A103" s="15" t="s">
        <v>110</v>
      </c>
      <c r="B103" s="6">
        <f>'234'!G5</f>
        <v>-5.388604477611921</v>
      </c>
      <c r="C103" s="7">
        <v>233</v>
      </c>
    </row>
    <row r="104" spans="1:3" ht="15">
      <c r="A104" s="113" t="s">
        <v>538</v>
      </c>
      <c r="B104" s="6">
        <f>'269'!G5</f>
        <v>-0.39928252788115515</v>
      </c>
      <c r="C104" s="7">
        <v>269</v>
      </c>
    </row>
    <row r="105" spans="1:3" ht="15">
      <c r="A105" s="13" t="s">
        <v>111</v>
      </c>
      <c r="B105" s="6">
        <f>'35'!G6+'64'!G5</f>
        <v>-0.3834220700151434</v>
      </c>
      <c r="C105" s="7" t="s">
        <v>112</v>
      </c>
    </row>
    <row r="106" spans="1:3" ht="15">
      <c r="A106" s="9" t="s">
        <v>113</v>
      </c>
      <c r="B106" s="6">
        <f>'151'!G8+'165'!G5+'189'!G7+'192'!G5</f>
        <v>55.954129201694286</v>
      </c>
      <c r="C106" s="7" t="s">
        <v>114</v>
      </c>
    </row>
    <row r="107" spans="1:3" ht="15">
      <c r="A107" s="9" t="s">
        <v>580</v>
      </c>
      <c r="B107" s="6">
        <f>'286'!G4</f>
        <v>10.818517269076324</v>
      </c>
      <c r="C107" s="7">
        <v>286</v>
      </c>
    </row>
    <row r="108" spans="1:3" ht="15">
      <c r="A108" s="100" t="s">
        <v>511</v>
      </c>
      <c r="B108" s="6">
        <f>'257'!G5</f>
        <v>1.4661223880596026</v>
      </c>
      <c r="C108" s="7">
        <v>257</v>
      </c>
    </row>
    <row r="109" spans="1:3" ht="15">
      <c r="A109" s="9" t="s">
        <v>115</v>
      </c>
      <c r="B109" s="6">
        <f>'173'!G7+'195'!G5+'196'!G4+'202'!G4+'231'!G5</f>
        <v>67.12060487458155</v>
      </c>
      <c r="C109" s="7" t="s">
        <v>116</v>
      </c>
    </row>
    <row r="110" spans="1:3" ht="15">
      <c r="A110" s="100" t="s">
        <v>510</v>
      </c>
      <c r="B110" s="6">
        <f>'256'!G7</f>
        <v>-0.19630474308291923</v>
      </c>
      <c r="C110" s="7">
        <v>256</v>
      </c>
    </row>
    <row r="111" spans="1:3" ht="15">
      <c r="A111" s="15" t="s">
        <v>117</v>
      </c>
      <c r="B111" s="6">
        <f>'240'!G5+'259'!G5</f>
        <v>-0.7417588235293806</v>
      </c>
      <c r="C111" s="7" t="s">
        <v>522</v>
      </c>
    </row>
    <row r="112" spans="1:3" ht="15">
      <c r="A112" s="9" t="s">
        <v>118</v>
      </c>
      <c r="B112" s="6">
        <f>'215'!G5+'279'!G7</f>
        <v>-0.01558294008663097</v>
      </c>
      <c r="C112" s="7" t="s">
        <v>560</v>
      </c>
    </row>
    <row r="113" spans="1:3" ht="15">
      <c r="A113" s="15" t="s">
        <v>119</v>
      </c>
      <c r="B113" s="6">
        <f>'233'!G7</f>
        <v>-8.840845724907012</v>
      </c>
      <c r="C113" s="7">
        <v>233</v>
      </c>
    </row>
    <row r="114" spans="1:3" ht="15">
      <c r="A114" s="9" t="s">
        <v>120</v>
      </c>
      <c r="B114" s="6">
        <f>'161'!G7+'251'!G7</f>
        <v>1.2350052324831324</v>
      </c>
      <c r="C114" s="7" t="s">
        <v>503</v>
      </c>
    </row>
    <row r="115" spans="1:3" ht="15">
      <c r="A115" s="9" t="s">
        <v>121</v>
      </c>
      <c r="B115" s="6">
        <f>'46'!G7+'120'!G6+'128'!G6+'138'!G4+'145'!G6+'212'!G7</f>
        <v>2.7318253704390543</v>
      </c>
      <c r="C115" s="7" t="s">
        <v>122</v>
      </c>
    </row>
    <row r="116" spans="1:3" ht="62.25" customHeight="1">
      <c r="A116" s="9" t="s">
        <v>123</v>
      </c>
      <c r="B116" s="6">
        <f>'60'!G9+'92'!G6+'96'!G7+'101'!G9+'108'!G6+'122'!G6+'126'!G5+'127'!G6+'139'!G5+'140'!G4+'141'!G4+'142'!G4+'147'!G7+'148'!G4+'163'!G4+'172'!G6+'175'!G4+'189'!G6+'200'!G5+'205'!G4+'217'!G6+'226'!G5+'289'!G5</f>
        <v>46.22906284289732</v>
      </c>
      <c r="C116" s="7" t="s">
        <v>603</v>
      </c>
    </row>
    <row r="117" spans="1:3" ht="15">
      <c r="A117" s="9" t="s">
        <v>124</v>
      </c>
      <c r="B117" s="6">
        <f>'98'!G4+'115'!G7+'128'!G9</f>
        <v>0.06681868215576969</v>
      </c>
      <c r="C117" s="7" t="s">
        <v>125</v>
      </c>
    </row>
    <row r="118" spans="1:3" ht="15">
      <c r="A118" s="9" t="s">
        <v>126</v>
      </c>
      <c r="B118" s="6">
        <f>'207'!G11+'272'!G4</f>
        <v>-3.92491413116943</v>
      </c>
      <c r="C118" s="7" t="s">
        <v>545</v>
      </c>
    </row>
    <row r="119" spans="1:3" ht="15">
      <c r="A119" s="100" t="s">
        <v>563</v>
      </c>
      <c r="B119" s="6">
        <f>'281'!G8</f>
        <v>-1.1178249070632091</v>
      </c>
      <c r="C119" s="7">
        <v>281</v>
      </c>
    </row>
    <row r="120" spans="1:3" ht="15">
      <c r="A120" s="9" t="s">
        <v>127</v>
      </c>
      <c r="B120" s="6">
        <f>'214'!G6+'212'!G6+'241'!G5+'243'!G7+'247'!G5+'268'!G4+'269'!G4+'274'!G6</f>
        <v>-0.11297899728236871</v>
      </c>
      <c r="C120" s="104" t="s">
        <v>554</v>
      </c>
    </row>
    <row r="121" spans="1:3" ht="15">
      <c r="A121" s="9" t="s">
        <v>128</v>
      </c>
      <c r="B121" s="6">
        <f>'109'!G5</f>
        <v>0.6968857142857701</v>
      </c>
      <c r="C121" s="7">
        <v>109</v>
      </c>
    </row>
    <row r="122" spans="1:3" ht="15">
      <c r="A122" s="9" t="s">
        <v>129</v>
      </c>
      <c r="B122" s="6">
        <f>'11'!G6+'37'!G7+'48'!G4+'222'!G4</f>
        <v>10.454676935327228</v>
      </c>
      <c r="C122" s="7" t="s">
        <v>130</v>
      </c>
    </row>
    <row r="123" spans="1:3" ht="15">
      <c r="A123" s="9" t="s">
        <v>131</v>
      </c>
      <c r="B123" s="6">
        <f>'49'!G4+'80'!G6+'102'!G4+'116'!G4+'149'!G5+'183'!G4+'184'!G4</f>
        <v>-0.3081432310312948</v>
      </c>
      <c r="C123" s="7" t="s">
        <v>132</v>
      </c>
    </row>
    <row r="124" spans="1:3" ht="15">
      <c r="A124" s="9" t="s">
        <v>133</v>
      </c>
      <c r="B124" s="6">
        <f>'122'!G5+'137'!G6</f>
        <v>-7.43786700083524</v>
      </c>
      <c r="C124" s="7" t="s">
        <v>134</v>
      </c>
    </row>
    <row r="125" spans="1:3" ht="15">
      <c r="A125" s="9" t="s">
        <v>135</v>
      </c>
      <c r="B125" s="6">
        <f>'171'!G4</f>
        <v>0.4351999999998952</v>
      </c>
      <c r="C125" s="7">
        <v>171</v>
      </c>
    </row>
    <row r="126" spans="1:3" ht="15">
      <c r="A126" s="9" t="s">
        <v>136</v>
      </c>
      <c r="B126" s="6">
        <f>'126'!G4</f>
        <v>3.036188764045164</v>
      </c>
      <c r="C126" s="7">
        <v>126</v>
      </c>
    </row>
    <row r="127" spans="1:3" ht="15">
      <c r="A127" s="9" t="s">
        <v>137</v>
      </c>
      <c r="B127" s="6">
        <f>'85'!G6+'133'!G5+'167'!G4+'219-220'!G4</f>
        <v>3.059493442535313</v>
      </c>
      <c r="C127" s="7" t="s">
        <v>138</v>
      </c>
    </row>
    <row r="128" spans="1:3" ht="15">
      <c r="A128" s="9" t="s">
        <v>139</v>
      </c>
      <c r="B128" s="6">
        <f>'47'!G6</f>
        <v>4.835735687732381</v>
      </c>
      <c r="C128" s="7">
        <v>47</v>
      </c>
    </row>
    <row r="129" spans="1:3" ht="15">
      <c r="A129" s="9" t="s">
        <v>140</v>
      </c>
      <c r="B129" s="6">
        <f>'95'!G8</f>
        <v>0.028470588235293803</v>
      </c>
      <c r="C129" s="7">
        <v>95</v>
      </c>
    </row>
    <row r="130" spans="1:3" ht="15">
      <c r="A130" s="9" t="s">
        <v>141</v>
      </c>
      <c r="B130" s="6">
        <f>'108'!G7+'152'!G4+'166'!G4</f>
        <v>-9.905451238563273</v>
      </c>
      <c r="C130" s="7" t="s">
        <v>142</v>
      </c>
    </row>
    <row r="131" spans="1:3" ht="45">
      <c r="A131" s="9" t="s">
        <v>143</v>
      </c>
      <c r="B131" s="6">
        <f>'93'!G6+'94'!G5+'109'!G6+'111'!G5+'114'!G4+'163'!G7+'167'!G5+'169'!G6+'182'!G5+'202'!G9+'214'!G9+'221'!G5+'226'!G6+'231'!G6+'236'!G4+'258'!G5+'275'!G4+'283'!G5+'287'!G6+'294'!G5+'297'!G7</f>
        <v>16.785917280805677</v>
      </c>
      <c r="C131" s="7" t="s">
        <v>637</v>
      </c>
    </row>
    <row r="132" spans="1:3" ht="30">
      <c r="A132" s="9" t="s">
        <v>144</v>
      </c>
      <c r="B132" s="6">
        <f>3!G7+'103'!G8+'105'!G4+'110'!G4+'111'!G4+'182'!G4+'184'!G5+'213'!G6+'227'!G5+'228'!G5+'229'!G4+'258'!G4+'259'!G4+'261'!G5</f>
        <v>8.326228094229634</v>
      </c>
      <c r="C132" s="105" t="s">
        <v>518</v>
      </c>
    </row>
    <row r="133" spans="1:3" ht="15">
      <c r="A133" s="100" t="s">
        <v>558</v>
      </c>
      <c r="B133" s="6">
        <f>'279'!G5</f>
        <v>0.49105830258304195</v>
      </c>
      <c r="C133" s="105">
        <v>279</v>
      </c>
    </row>
    <row r="134" spans="1:3" ht="15">
      <c r="A134" s="9" t="s">
        <v>145</v>
      </c>
      <c r="B134" s="6">
        <f>'166'!G6+'168'!G8+'170'!G5+'207'!G8</f>
        <v>-29.914094825678717</v>
      </c>
      <c r="C134" s="12" t="s">
        <v>146</v>
      </c>
    </row>
    <row r="135" spans="1:3" ht="15">
      <c r="A135" s="9" t="s">
        <v>147</v>
      </c>
      <c r="B135" s="6">
        <f>'55'!G7+'60'!G6+'65'!G7+'99'!G5+'100'!G5</f>
        <v>8.406420608604208</v>
      </c>
      <c r="C135" s="12" t="s">
        <v>148</v>
      </c>
    </row>
    <row r="136" spans="1:3" ht="15">
      <c r="A136" s="100" t="s">
        <v>541</v>
      </c>
      <c r="B136" s="6">
        <f>'272'!G6</f>
        <v>-3.4566666666664787</v>
      </c>
      <c r="C136" s="12">
        <v>272</v>
      </c>
    </row>
    <row r="137" spans="1:3" ht="15">
      <c r="A137" s="100" t="s">
        <v>596</v>
      </c>
      <c r="B137" s="6">
        <f>'289'!G7</f>
        <v>1.0084816326530017</v>
      </c>
      <c r="C137" s="12">
        <v>289</v>
      </c>
    </row>
    <row r="138" spans="1:3" ht="15">
      <c r="A138" s="9" t="s">
        <v>149</v>
      </c>
      <c r="B138" s="6">
        <f>'149'!G4</f>
        <v>0.8994666666666262</v>
      </c>
      <c r="C138" s="12">
        <v>149</v>
      </c>
    </row>
    <row r="139" spans="1:3" ht="15">
      <c r="A139" s="100" t="s">
        <v>550</v>
      </c>
      <c r="B139" s="6">
        <f>'275'!G5+'281'!G4</f>
        <v>-0.0879797480997695</v>
      </c>
      <c r="C139" s="105" t="s">
        <v>565</v>
      </c>
    </row>
    <row r="140" spans="1:3" ht="15">
      <c r="A140" s="100" t="s">
        <v>526</v>
      </c>
      <c r="B140" s="6">
        <f>'263'!G6+'293'!G4</f>
        <v>151.32070333626007</v>
      </c>
      <c r="C140" s="105" t="s">
        <v>612</v>
      </c>
    </row>
    <row r="141" spans="1:3" ht="15">
      <c r="A141" s="9" t="s">
        <v>150</v>
      </c>
      <c r="B141" s="6">
        <f>'52'!G5+'175'!G6</f>
        <v>-0.2295059701492903</v>
      </c>
      <c r="C141" s="12" t="s">
        <v>151</v>
      </c>
    </row>
    <row r="142" spans="1:3" ht="45">
      <c r="A142" s="9" t="s">
        <v>152</v>
      </c>
      <c r="B142" s="6">
        <f>4!G7+5!G4+6!G4+8!G4+9!G4+'14'!G4+'15'!G4+'18'!G4+'21'!G11+'22'!G5+'25'!G6+'27'!G6+'28'!G6+'29'!G6+'31'!G6+'37'!G6+'38'!G7+'44'!G5+'45'!G4+'48'!G5+'53'!G9+'60'!G8+'61'!G5+'62'!G5+'64'!G4+'66'!G5+'78'!G4</f>
        <v>7.980903214015342</v>
      </c>
      <c r="C142" s="7" t="s">
        <v>153</v>
      </c>
    </row>
    <row r="143" spans="1:3" ht="15">
      <c r="A143" s="100" t="s">
        <v>576</v>
      </c>
      <c r="B143" s="6">
        <f>'283'!G4</f>
        <v>4.712938376383818</v>
      </c>
      <c r="C143" s="7">
        <v>283</v>
      </c>
    </row>
    <row r="144" spans="1:3" ht="30">
      <c r="A144" s="9" t="s">
        <v>154</v>
      </c>
      <c r="B144" s="6">
        <f>'79'!G5+'80'!G4+'99'!G7+'102'!G6+'127'!G5+'147'!G8+'155'!G5+'159'!G4+'178'!G4+'182'!G6+'198'!G6+'214'!G8</f>
        <v>1.2556274174827422</v>
      </c>
      <c r="C144" s="7" t="s">
        <v>155</v>
      </c>
    </row>
    <row r="145" spans="1:3" ht="30" customHeight="1">
      <c r="A145" s="9" t="s">
        <v>156</v>
      </c>
      <c r="B145" s="6">
        <f>'133'!G4+'134'!G4+'135'!G4+'136'!G4+'152'!G6+'153'!G4+'154'!G4+'155'!G6+'156'!G4+'157'!G4+'158'!G4+'160'!G7+'174'!G4+'175'!G5+'177'!G6+'211'!G4+'212'!G4+'240'!G4+'244'!G4+'245'!G4+'280'!G4</f>
        <v>-10.115194395506933</v>
      </c>
      <c r="C145" s="7" t="s">
        <v>559</v>
      </c>
    </row>
    <row r="146" spans="1:3" ht="15">
      <c r="A146" s="9" t="s">
        <v>157</v>
      </c>
      <c r="B146" s="6">
        <f>'57'!G4+'70'!G7+'71'!G4+'92'!G4+'170'!G6+'186'!G5+'206'!G4</f>
        <v>2.50513107620381</v>
      </c>
      <c r="C146" s="7" t="s">
        <v>158</v>
      </c>
    </row>
    <row r="147" spans="1:3" ht="15">
      <c r="A147" s="9" t="s">
        <v>159</v>
      </c>
      <c r="B147" s="6">
        <f>'99'!G8+'100'!G4</f>
        <v>46.592575448599746</v>
      </c>
      <c r="C147" s="7" t="s">
        <v>160</v>
      </c>
    </row>
    <row r="148" spans="1:3" ht="15">
      <c r="A148" s="100" t="s">
        <v>645</v>
      </c>
      <c r="B148" s="6">
        <f>'299'!G6</f>
        <v>-164.07170501001974</v>
      </c>
      <c r="C148" s="7">
        <v>299</v>
      </c>
    </row>
    <row r="149" spans="1:3" ht="35.25" customHeight="1">
      <c r="A149" s="9" t="s">
        <v>161</v>
      </c>
      <c r="B149" s="6">
        <f>'114'!G6+'115'!G4+'119'!G6+'128'!G8+'144'!G5+'155'!G4+'160'!G4+'181'!G6+'204'!G5+'217'!G8+'264'!G5+'285'!G4</f>
        <v>6.585061122225625</v>
      </c>
      <c r="C149" s="7" t="s">
        <v>585</v>
      </c>
    </row>
    <row r="150" spans="1:3" ht="15">
      <c r="A150" s="9" t="s">
        <v>162</v>
      </c>
      <c r="B150" s="6">
        <f>'180'!G4+'197'!G4+'232'!G6+'274'!G7+'281'!G6</f>
        <v>-0.38766391911256903</v>
      </c>
      <c r="C150" s="7" t="s">
        <v>566</v>
      </c>
    </row>
    <row r="151" spans="1:3" ht="15">
      <c r="A151" s="100" t="s">
        <v>597</v>
      </c>
      <c r="B151" s="6">
        <f>'289'!G8</f>
        <v>0.7507510204081314</v>
      </c>
      <c r="C151" s="7">
        <v>289</v>
      </c>
    </row>
    <row r="152" spans="1:3" ht="15">
      <c r="A152" s="9" t="s">
        <v>163</v>
      </c>
      <c r="B152" s="6">
        <f>'198'!G12+'234'!G4</f>
        <v>-6.313964477611904</v>
      </c>
      <c r="C152" s="7" t="s">
        <v>164</v>
      </c>
    </row>
    <row r="153" spans="1:3" ht="15">
      <c r="A153" s="9" t="s">
        <v>165</v>
      </c>
      <c r="B153" s="6">
        <f>'94'!G4+'95'!G6+'99'!G4</f>
        <v>19.751527991240096</v>
      </c>
      <c r="C153" s="7" t="s">
        <v>166</v>
      </c>
    </row>
    <row r="154" spans="1:3" ht="15">
      <c r="A154" s="9" t="s">
        <v>167</v>
      </c>
      <c r="B154" s="16">
        <f>'161'!G6+'166'!G7</f>
        <v>-33.09544626569698</v>
      </c>
      <c r="C154" s="17" t="s">
        <v>168</v>
      </c>
    </row>
    <row r="155" spans="1:3" ht="15">
      <c r="A155" s="103" t="s">
        <v>501</v>
      </c>
      <c r="B155" s="16">
        <f>'246'!G4</f>
        <v>-4.52523529411792</v>
      </c>
      <c r="C155" s="17">
        <v>246</v>
      </c>
    </row>
    <row r="156" spans="1:3" ht="15">
      <c r="A156" s="18" t="s">
        <v>169</v>
      </c>
      <c r="B156" s="16">
        <f>'216'!G6</f>
        <v>0.004197183098654023</v>
      </c>
      <c r="C156" s="17">
        <v>216</v>
      </c>
    </row>
    <row r="157" spans="1:3" ht="15">
      <c r="A157" s="18" t="s">
        <v>170</v>
      </c>
      <c r="B157" s="16">
        <f>'207'!G6</f>
        <v>0.6226805273834088</v>
      </c>
      <c r="C157" s="17">
        <v>207</v>
      </c>
    </row>
    <row r="158" spans="1:3" ht="15">
      <c r="A158" s="18" t="s">
        <v>171</v>
      </c>
      <c r="B158" s="16">
        <f>'188'!G4</f>
        <v>4.240088475836416</v>
      </c>
      <c r="C158" s="17">
        <v>188</v>
      </c>
    </row>
    <row r="159" spans="1:3" ht="15">
      <c r="A159" s="18" t="s">
        <v>172</v>
      </c>
      <c r="B159" s="16">
        <f>'180'!G6+'198'!G9+'200'!G8</f>
        <v>6.8688965212755875</v>
      </c>
      <c r="C159" s="17" t="s">
        <v>173</v>
      </c>
    </row>
    <row r="160" spans="1:3" ht="15">
      <c r="A160" s="19" t="s">
        <v>174</v>
      </c>
      <c r="B160" s="20">
        <f>'110'!G5+'124'!G5+'176'!G6</f>
        <v>3.09982620842743</v>
      </c>
      <c r="C160" s="21" t="s">
        <v>175</v>
      </c>
    </row>
    <row r="161" spans="1:3" ht="15">
      <c r="A161" s="22" t="s">
        <v>176</v>
      </c>
      <c r="B161" s="23">
        <f>'125'!G4+'286'!G6</f>
        <v>42.77319291282765</v>
      </c>
      <c r="C161" s="24" t="s">
        <v>587</v>
      </c>
    </row>
    <row r="162" spans="1:3" ht="15">
      <c r="A162" s="22" t="s">
        <v>177</v>
      </c>
      <c r="B162" s="23">
        <f>'130'!G5+'217'!G9</f>
        <v>1.4049868694856968</v>
      </c>
      <c r="C162" s="24" t="s">
        <v>178</v>
      </c>
    </row>
    <row r="163" spans="1:3" ht="15">
      <c r="A163" s="9" t="s">
        <v>179</v>
      </c>
      <c r="B163" s="23">
        <f>'128'!G7</f>
        <v>0.018533333333266455</v>
      </c>
      <c r="C163" s="24">
        <v>128</v>
      </c>
    </row>
    <row r="164" spans="1:3" ht="15">
      <c r="A164" s="9" t="s">
        <v>180</v>
      </c>
      <c r="B164" s="6">
        <f>'38'!G6+'101'!G6+'192'!G4</f>
        <v>20.188039907978293</v>
      </c>
      <c r="C164" s="7" t="s">
        <v>181</v>
      </c>
    </row>
    <row r="165" spans="1:3" ht="15">
      <c r="A165" s="100" t="s">
        <v>569</v>
      </c>
      <c r="B165" s="6">
        <f>'282'!G6</f>
        <v>0.06890895522383289</v>
      </c>
      <c r="C165" s="7">
        <v>282</v>
      </c>
    </row>
    <row r="166" spans="1:3" ht="15">
      <c r="A166" s="9" t="s">
        <v>182</v>
      </c>
      <c r="B166" s="6">
        <f>'243'!G8+'265'!G4</f>
        <v>0.3344244551705202</v>
      </c>
      <c r="C166" s="7" t="s">
        <v>532</v>
      </c>
    </row>
    <row r="167" spans="1:3" ht="15">
      <c r="A167" s="100" t="s">
        <v>519</v>
      </c>
      <c r="B167" s="6">
        <f>'260'!G4+'263'!G5+'294'!G9</f>
        <v>0.051307254353105236</v>
      </c>
      <c r="C167" s="7" t="s">
        <v>621</v>
      </c>
    </row>
    <row r="168" spans="1:3" ht="15">
      <c r="A168" s="9" t="s">
        <v>183</v>
      </c>
      <c r="B168" s="6">
        <f>'60'!G10</f>
        <v>1.9091505617977305</v>
      </c>
      <c r="C168" s="7">
        <v>60</v>
      </c>
    </row>
    <row r="169" spans="1:3" ht="15">
      <c r="A169" s="9" t="s">
        <v>184</v>
      </c>
      <c r="B169" s="6">
        <f>'242'!G4+'243'!G4+'267'!G6+'287'!G5+'288'!G4+'295'!G5+'297'!G5</f>
        <v>-58.77046529453111</v>
      </c>
      <c r="C169" s="7" t="s">
        <v>635</v>
      </c>
    </row>
    <row r="170" spans="1:3" ht="15">
      <c r="A170" s="100" t="s">
        <v>610</v>
      </c>
      <c r="B170" s="6">
        <f>'292'!G8+'295'!G6</f>
        <v>0.2963173666980765</v>
      </c>
      <c r="C170" s="7" t="s">
        <v>622</v>
      </c>
    </row>
    <row r="171" spans="1:3" ht="15">
      <c r="A171" s="9" t="s">
        <v>185</v>
      </c>
      <c r="B171" s="6">
        <f>'150'!G5</f>
        <v>1.0937563218390096</v>
      </c>
      <c r="C171" s="7">
        <v>150</v>
      </c>
    </row>
    <row r="172" spans="1:3" ht="15">
      <c r="A172" s="9" t="s">
        <v>186</v>
      </c>
      <c r="B172" s="6">
        <f>'241'!G6</f>
        <v>-2.9425373134328083</v>
      </c>
      <c r="C172" s="7">
        <v>241</v>
      </c>
    </row>
    <row r="173" spans="1:3" ht="15">
      <c r="A173" s="9" t="s">
        <v>187</v>
      </c>
      <c r="B173" s="6">
        <f>'214'!G5</f>
        <v>0.17467951318462838</v>
      </c>
      <c r="C173" s="7">
        <v>214</v>
      </c>
    </row>
    <row r="174" spans="1:3" ht="15">
      <c r="A174" s="9" t="s">
        <v>188</v>
      </c>
      <c r="B174" s="6">
        <f>'19'!G6+'64'!G7+'74'!G4+'91'!G4+'103'!G4+'106'!G4+'109'!G8+'115'!G6</f>
        <v>6.030189069854316</v>
      </c>
      <c r="C174" s="12" t="s">
        <v>189</v>
      </c>
    </row>
    <row r="175" spans="1:3" ht="15">
      <c r="A175" s="9" t="s">
        <v>190</v>
      </c>
      <c r="B175" s="6">
        <f>'224'!G7</f>
        <v>-3.07000000000005</v>
      </c>
      <c r="C175" s="12">
        <v>224</v>
      </c>
    </row>
    <row r="176" spans="1:3" ht="30">
      <c r="A176" s="100" t="s">
        <v>548</v>
      </c>
      <c r="B176" s="6">
        <f>'273'!G4+'279'!G6+'281'!G11+'284'!G4+'292'!G7</f>
        <v>35.121483693857414</v>
      </c>
      <c r="C176" s="105" t="s">
        <v>615</v>
      </c>
    </row>
    <row r="177" spans="1:3" ht="15">
      <c r="A177" s="100" t="s">
        <v>570</v>
      </c>
      <c r="B177" s="6">
        <f>'282'!G8+'298'!G8</f>
        <v>-26.891511437196016</v>
      </c>
      <c r="C177" s="105" t="s">
        <v>642</v>
      </c>
    </row>
    <row r="178" spans="1:3" ht="15">
      <c r="A178" s="100" t="s">
        <v>651</v>
      </c>
      <c r="B178" s="6"/>
      <c r="C178" s="105">
        <v>300</v>
      </c>
    </row>
    <row r="179" spans="1:3" ht="15">
      <c r="A179" s="9" t="s">
        <v>191</v>
      </c>
      <c r="B179" s="6">
        <f>'194'!G6</f>
        <v>2.9230177121770566</v>
      </c>
      <c r="C179" s="12">
        <v>194</v>
      </c>
    </row>
    <row r="180" spans="1:3" ht="15">
      <c r="A180" s="9" t="s">
        <v>192</v>
      </c>
      <c r="B180" s="6">
        <f>'137'!G8+'147'!G5</f>
        <v>2.701133157960683</v>
      </c>
      <c r="C180" s="12" t="s">
        <v>193</v>
      </c>
    </row>
    <row r="181" spans="1:3" ht="15">
      <c r="A181" s="9" t="s">
        <v>194</v>
      </c>
      <c r="B181" s="6">
        <f>'55'!G8+'56'!G4</f>
        <v>6.7210111524161675</v>
      </c>
      <c r="C181" s="7" t="s">
        <v>195</v>
      </c>
    </row>
    <row r="182" spans="1:3" ht="15">
      <c r="A182" s="9" t="s">
        <v>196</v>
      </c>
      <c r="B182" s="6">
        <f>'202'!G8+'214'!G4+'215'!G4+'218'!G4</f>
        <v>18.961397682707343</v>
      </c>
      <c r="C182" s="7" t="s">
        <v>197</v>
      </c>
    </row>
    <row r="183" spans="1:3" ht="15">
      <c r="A183" s="100" t="s">
        <v>497</v>
      </c>
      <c r="B183" s="6">
        <f>'249'!G4+'271'!G4</f>
        <v>-0.3702024190243378</v>
      </c>
      <c r="C183" s="7" t="s">
        <v>544</v>
      </c>
    </row>
    <row r="184" spans="1:3" ht="15">
      <c r="A184" s="100" t="s">
        <v>539</v>
      </c>
      <c r="B184" s="6">
        <f>'271'!G5+'281'!G7+'288'!G11</f>
        <v>36.861355375757796</v>
      </c>
      <c r="C184" s="7" t="s">
        <v>602</v>
      </c>
    </row>
    <row r="185" spans="1:3" ht="15">
      <c r="A185" s="9" t="s">
        <v>198</v>
      </c>
      <c r="B185" s="6">
        <f>'47'!G5</f>
        <v>7.176805092936775</v>
      </c>
      <c r="C185" s="7">
        <v>47</v>
      </c>
    </row>
    <row r="186" spans="1:3" ht="15">
      <c r="A186" s="9" t="s">
        <v>199</v>
      </c>
      <c r="B186" s="6">
        <f>'117'!G5+'235'!G5</f>
        <v>1.1924749487498048</v>
      </c>
      <c r="C186" s="7" t="s">
        <v>200</v>
      </c>
    </row>
    <row r="187" spans="1:3" ht="30">
      <c r="A187" s="9" t="s">
        <v>201</v>
      </c>
      <c r="B187" s="6">
        <f>'205'!G7</f>
        <v>2.442424242424238</v>
      </c>
      <c r="C187" s="7">
        <v>205</v>
      </c>
    </row>
    <row r="188" spans="1:3" ht="15">
      <c r="A188" s="9" t="s">
        <v>202</v>
      </c>
      <c r="B188" s="6">
        <f>'133'!G8+'204'!G4</f>
        <v>6.017449376720265</v>
      </c>
      <c r="C188" s="7" t="s">
        <v>203</v>
      </c>
    </row>
    <row r="189" spans="1:3" ht="15">
      <c r="A189" s="9" t="s">
        <v>204</v>
      </c>
      <c r="B189" s="6">
        <f>3!G6+6!G6+8!G6+'21'!G7+'22'!G7+'24'!G6+'27'!G5+'36'!G5+'39'!G6+'40'!G6+'76'!G4</f>
        <v>1.1351302597282427</v>
      </c>
      <c r="C189" s="12" t="s">
        <v>205</v>
      </c>
    </row>
    <row r="190" spans="1:3" ht="15">
      <c r="A190" s="9" t="s">
        <v>206</v>
      </c>
      <c r="B190" s="6">
        <f>'203'!G5+'230'!G6+'299'!G8</f>
        <v>-14.301456186530174</v>
      </c>
      <c r="C190" s="105" t="s">
        <v>649</v>
      </c>
    </row>
    <row r="191" spans="1:3" ht="15">
      <c r="A191" s="9" t="s">
        <v>207</v>
      </c>
      <c r="B191" s="6">
        <f>3!G8+6!G5+'24'!G5+'38'!G5+'51'!G7+'116'!G5+'139'!G4+'243'!G5+'256'!G5</f>
        <v>-0.37727988284905223</v>
      </c>
      <c r="C191" s="105" t="s">
        <v>512</v>
      </c>
    </row>
    <row r="192" spans="1:3" ht="15">
      <c r="A192" s="9" t="s">
        <v>208</v>
      </c>
      <c r="B192" s="6">
        <f>'179'!G4</f>
        <v>-88.34230000000025</v>
      </c>
      <c r="C192" s="12">
        <v>179</v>
      </c>
    </row>
    <row r="193" spans="1:3" ht="15">
      <c r="A193" s="9" t="s">
        <v>632</v>
      </c>
      <c r="B193" s="6">
        <f>'297'!G4</f>
        <v>-23.91383542435426</v>
      </c>
      <c r="C193" s="12">
        <v>297</v>
      </c>
    </row>
    <row r="194" spans="1:3" ht="15">
      <c r="A194" s="9" t="s">
        <v>209</v>
      </c>
      <c r="B194" s="6">
        <f>'214'!G10+'215'!G9</f>
        <v>-1.2860804541588777</v>
      </c>
      <c r="C194" s="12" t="s">
        <v>210</v>
      </c>
    </row>
    <row r="195" spans="1:3" ht="15">
      <c r="A195" s="9" t="s">
        <v>211</v>
      </c>
      <c r="B195" s="6">
        <f>'85'!G4+'131'!G6+'254'!G4</f>
        <v>8.620830279867448</v>
      </c>
      <c r="C195" s="105" t="s">
        <v>507</v>
      </c>
    </row>
    <row r="196" spans="1:3" ht="15">
      <c r="A196" s="9" t="s">
        <v>212</v>
      </c>
      <c r="B196" s="6">
        <f>'159'!G5+'161'!G5+'172'!G5+'177'!G7+'181'!G5+'207'!G5</f>
        <v>6.633252505582078</v>
      </c>
      <c r="C196" s="12" t="s">
        <v>213</v>
      </c>
    </row>
    <row r="197" spans="1:3" ht="15">
      <c r="A197" s="100" t="s">
        <v>551</v>
      </c>
      <c r="B197" s="6">
        <f>'275'!G6+'276'!G4+'277'!G4+'278'!G4</f>
        <v>0.1448835820901877</v>
      </c>
      <c r="C197" s="105" t="s">
        <v>552</v>
      </c>
    </row>
    <row r="198" spans="1:3" ht="15">
      <c r="A198" s="9" t="s">
        <v>214</v>
      </c>
      <c r="B198" s="6">
        <f>'176'!G7</f>
        <v>-0.2964344827586558</v>
      </c>
      <c r="C198" s="12">
        <v>176</v>
      </c>
    </row>
    <row r="199" spans="1:3" ht="30">
      <c r="A199" s="9" t="s">
        <v>215</v>
      </c>
      <c r="B199" s="6">
        <f>'224'!G6</f>
        <v>-1.9700000000000273</v>
      </c>
      <c r="C199" s="12">
        <v>224</v>
      </c>
    </row>
    <row r="200" spans="1:3" ht="30">
      <c r="A200" s="9" t="s">
        <v>216</v>
      </c>
      <c r="B200" s="6">
        <f>'17'!G4+'19'!G7+'20'!G4+'21'!G9+'23'!G4+'36'!G4+'37'!G5+'58'!G4+'98'!G5+'172'!G7+'190'!G4+'194'!G7+'213'!G5+'267'!G5+'279'!G4+'288'!G13+'292'!G9</f>
        <v>-0.1150172419457931</v>
      </c>
      <c r="C200" s="7" t="s">
        <v>616</v>
      </c>
    </row>
    <row r="201" spans="1:3" ht="15">
      <c r="A201" s="9" t="s">
        <v>577</v>
      </c>
      <c r="B201" s="6">
        <f>'284'!G7</f>
        <v>1.9459866171004023</v>
      </c>
      <c r="C201" s="7">
        <v>284</v>
      </c>
    </row>
    <row r="202" spans="1:3" ht="15">
      <c r="A202" s="13" t="s">
        <v>217</v>
      </c>
      <c r="B202" s="6">
        <f>'10'!G4+'43'!G5</f>
        <v>0.7379448639157431</v>
      </c>
      <c r="C202" s="7" t="s">
        <v>218</v>
      </c>
    </row>
    <row r="203" spans="1:3" ht="15">
      <c r="A203" s="13" t="s">
        <v>219</v>
      </c>
      <c r="B203" s="6">
        <f>'10'!G5+'43'!G6</f>
        <v>0.16304337137825087</v>
      </c>
      <c r="C203" s="7" t="s">
        <v>218</v>
      </c>
    </row>
    <row r="204" spans="1:3" ht="15">
      <c r="A204" s="9" t="s">
        <v>220</v>
      </c>
      <c r="B204" s="25">
        <f>'20'!G5+'29'!G5+'57'!G7+'71'!G5+'72'!G7+'109'!G7+'117'!G7</f>
        <v>-1.948836693129607</v>
      </c>
      <c r="C204" s="7" t="s">
        <v>221</v>
      </c>
    </row>
    <row r="205" spans="1:3" ht="15">
      <c r="A205" s="9" t="s">
        <v>222</v>
      </c>
      <c r="B205" s="6">
        <f>'40'!G8+'46'!G5+'72'!G5</f>
        <v>0.2373907806690454</v>
      </c>
      <c r="C205" s="7" t="s">
        <v>223</v>
      </c>
    </row>
    <row r="206" spans="1:3" ht="15">
      <c r="A206" s="9" t="s">
        <v>224</v>
      </c>
      <c r="B206" s="6">
        <f>'82'!G6+'96'!G5+'103'!G7+'133'!G6+'203'!G7+'216'!G7+'222'!G5+'237'!G4</f>
        <v>0.6719600314401077</v>
      </c>
      <c r="C206" s="7" t="s">
        <v>225</v>
      </c>
    </row>
    <row r="207" spans="1:3" ht="15">
      <c r="A207" s="9" t="s">
        <v>226</v>
      </c>
      <c r="B207" s="6">
        <f>'201'!G6+'243'!G6</f>
        <v>-17.755762859074366</v>
      </c>
      <c r="C207" s="7">
        <v>201.243</v>
      </c>
    </row>
    <row r="208" spans="1:3" ht="15">
      <c r="A208" s="9" t="s">
        <v>227</v>
      </c>
      <c r="B208" s="6">
        <f>'97'!G4</f>
        <v>-0.7358782287822123</v>
      </c>
      <c r="C208" s="7">
        <v>97</v>
      </c>
    </row>
    <row r="209" spans="1:3" ht="15">
      <c r="A209" s="9" t="s">
        <v>228</v>
      </c>
      <c r="B209" s="6">
        <f>'18'!G5</f>
        <v>11.393464426315745</v>
      </c>
      <c r="C209" s="7">
        <v>18</v>
      </c>
    </row>
    <row r="210" spans="1:3" ht="15">
      <c r="A210" s="9" t="s">
        <v>229</v>
      </c>
      <c r="B210" s="6">
        <f>'93'!G4</f>
        <v>5.942128301886839</v>
      </c>
      <c r="C210" s="7">
        <v>93</v>
      </c>
    </row>
    <row r="211" spans="1:4" ht="15">
      <c r="A211" s="9" t="s">
        <v>230</v>
      </c>
      <c r="B211" s="6">
        <f>'53'!G5+'54'!G5+'78'!G5+'88'!G5+'118'!G6+'264'!G6+'299'!G10</f>
        <v>-36.51621791669555</v>
      </c>
      <c r="C211" s="7" t="s">
        <v>650</v>
      </c>
      <c r="D211" s="26"/>
    </row>
    <row r="212" spans="1:4" ht="15">
      <c r="A212" s="100" t="s">
        <v>589</v>
      </c>
      <c r="B212" s="6">
        <f>'288'!G5</f>
        <v>0.7951898989899746</v>
      </c>
      <c r="C212" s="7">
        <v>288</v>
      </c>
      <c r="D212" s="26"/>
    </row>
    <row r="213" spans="1:3" ht="18" customHeight="1">
      <c r="A213" s="111" t="s">
        <v>584</v>
      </c>
      <c r="B213" s="6">
        <f>'265'!G5+'267'!G4+'286'!G8+'287'!G4+'288'!G8+'295'!G4</f>
        <v>7.131369924571686</v>
      </c>
      <c r="C213" s="7" t="s">
        <v>623</v>
      </c>
    </row>
    <row r="214" spans="1:3" ht="18" customHeight="1">
      <c r="A214" s="111" t="s">
        <v>599</v>
      </c>
      <c r="B214" s="6">
        <f>'289'!G10+'291'!G6</f>
        <v>31.191849100083118</v>
      </c>
      <c r="C214" s="7" t="s">
        <v>613</v>
      </c>
    </row>
    <row r="215" spans="1:4" ht="15">
      <c r="A215" s="9" t="s">
        <v>231</v>
      </c>
      <c r="B215" s="6">
        <f>'205'!G9+'212'!G8+'222'!G8+'227'!G4+'228'!G4</f>
        <v>32.01769973750169</v>
      </c>
      <c r="C215" s="7" t="s">
        <v>232</v>
      </c>
      <c r="D215" s="26"/>
    </row>
    <row r="216" spans="1:4" ht="15">
      <c r="A216" s="100" t="s">
        <v>528</v>
      </c>
      <c r="B216" s="6">
        <f>'263'!G4</f>
        <v>-7.881811764705844</v>
      </c>
      <c r="C216" s="7">
        <v>263</v>
      </c>
      <c r="D216" s="26"/>
    </row>
    <row r="217" spans="1:3" ht="30">
      <c r="A217" s="11" t="s">
        <v>233</v>
      </c>
      <c r="B217" s="6">
        <f>'23'!G6+'31'!G7+'46'!G6+'53'!G4+'76'!G5+'79'!G6+'102'!G5+'116'!G6+'117'!G6+'127'!G4+'224'!G5</f>
        <v>-0.34808717845774595</v>
      </c>
      <c r="C217" s="7" t="s">
        <v>234</v>
      </c>
    </row>
    <row r="218" spans="1:3" ht="15">
      <c r="A218" s="11" t="s">
        <v>235</v>
      </c>
      <c r="B218" s="6">
        <f>'199'!G4+'201'!G4+'247'!G6+'248'!G4+'297'!G6</f>
        <v>-30.181054570834704</v>
      </c>
      <c r="C218" s="7" t="s">
        <v>636</v>
      </c>
    </row>
    <row r="219" spans="1:3" ht="15">
      <c r="A219" s="108" t="s">
        <v>506</v>
      </c>
      <c r="B219" s="6">
        <f>'254'!G8</f>
        <v>-0.4378757609922559</v>
      </c>
      <c r="C219" s="7">
        <v>254</v>
      </c>
    </row>
    <row r="220" spans="1:3" ht="15">
      <c r="A220" s="9" t="s">
        <v>236</v>
      </c>
      <c r="B220" s="6">
        <f>'137'!G4+'151'!G7</f>
        <v>1.1311475065616605</v>
      </c>
      <c r="C220" s="7" t="s">
        <v>237</v>
      </c>
    </row>
    <row r="221" spans="1:3" ht="15">
      <c r="A221" s="100" t="s">
        <v>564</v>
      </c>
      <c r="B221" s="6">
        <f>'281'!G10+'285'!G5</f>
        <v>34.15341870059831</v>
      </c>
      <c r="C221" s="7" t="s">
        <v>586</v>
      </c>
    </row>
    <row r="222" spans="1:3" ht="15">
      <c r="A222" s="13" t="s">
        <v>238</v>
      </c>
      <c r="B222" s="6">
        <f>6!G7+8!G7</f>
        <v>17.847172187281444</v>
      </c>
      <c r="C222" s="12" t="s">
        <v>239</v>
      </c>
    </row>
    <row r="223" spans="1:3" ht="15">
      <c r="A223" s="9" t="s">
        <v>240</v>
      </c>
      <c r="B223" s="6">
        <f>'135'!G5</f>
        <v>-0.2740235955055823</v>
      </c>
      <c r="C223" s="12">
        <v>135</v>
      </c>
    </row>
    <row r="224" spans="1:3" ht="15">
      <c r="A224" s="100" t="s">
        <v>625</v>
      </c>
      <c r="B224" s="6">
        <f>'296'!G8</f>
        <v>27.73621123595467</v>
      </c>
      <c r="C224" s="12">
        <v>296</v>
      </c>
    </row>
    <row r="225" spans="1:3" ht="15">
      <c r="A225" s="9" t="s">
        <v>241</v>
      </c>
      <c r="B225" s="6">
        <f>3!G5</f>
        <v>-0.19644444444446663</v>
      </c>
      <c r="C225" s="12">
        <v>3</v>
      </c>
    </row>
    <row r="226" spans="1:3" ht="15">
      <c r="A226" s="9" t="s">
        <v>242</v>
      </c>
      <c r="B226" s="6">
        <f>'89'!G4</f>
        <v>4.417925842696633</v>
      </c>
      <c r="C226" s="12">
        <v>89</v>
      </c>
    </row>
    <row r="227" spans="1:3" ht="15">
      <c r="A227" s="100" t="s">
        <v>505</v>
      </c>
      <c r="B227" s="6">
        <f>'254'!G7+'288'!G7</f>
        <v>0.2698507100316121</v>
      </c>
      <c r="C227" s="105" t="s">
        <v>600</v>
      </c>
    </row>
    <row r="228" spans="1:3" ht="15">
      <c r="A228" s="9" t="s">
        <v>243</v>
      </c>
      <c r="B228" s="6">
        <f>'53'!G8+'55'!G5+'60'!G7+'86'!G4</f>
        <v>23.718100432324235</v>
      </c>
      <c r="C228" s="12" t="s">
        <v>244</v>
      </c>
    </row>
    <row r="229" spans="1:3" ht="15">
      <c r="A229" s="9" t="s">
        <v>245</v>
      </c>
      <c r="B229" s="6">
        <f>'131'!G5+'148'!G5+'282'!G7</f>
        <v>0.3924204326317806</v>
      </c>
      <c r="C229" s="105" t="s">
        <v>574</v>
      </c>
    </row>
    <row r="230" spans="1:3" ht="15">
      <c r="A230" s="9" t="s">
        <v>246</v>
      </c>
      <c r="B230" s="6">
        <f>'238'!G5+'257'!G6+'272'!G5+'274'!G9</f>
        <v>-0.15499136260604018</v>
      </c>
      <c r="C230" s="7" t="s">
        <v>555</v>
      </c>
    </row>
    <row r="231" spans="1:3" ht="15">
      <c r="A231" s="9" t="s">
        <v>247</v>
      </c>
      <c r="B231" s="6">
        <f>3!G4+'11'!G5+'21'!G8+'23'!G5</f>
        <v>-0.36963409120745894</v>
      </c>
      <c r="C231" s="12" t="s">
        <v>248</v>
      </c>
    </row>
    <row r="232" spans="1:3" ht="15">
      <c r="A232" s="13" t="s">
        <v>249</v>
      </c>
      <c r="B232" s="6">
        <f>'146'!G4+'292'!G5+'294'!G7+'296'!G5</f>
        <v>-1.6722750695192303</v>
      </c>
      <c r="C232" s="105" t="s">
        <v>627</v>
      </c>
    </row>
    <row r="236" ht="21">
      <c r="A236" s="27" t="s">
        <v>250</v>
      </c>
    </row>
  </sheetData>
  <sheetProtection selectLockedCells="1" selectUnlockedCells="1"/>
  <hyperlinks>
    <hyperlink ref="A10" r:id="rId1" display="Alen@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41191</v>
      </c>
      <c r="C1" s="31" t="s">
        <v>252</v>
      </c>
      <c r="D1" s="32">
        <v>31.17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13" t="s">
        <v>264</v>
      </c>
      <c r="B4" s="9">
        <v>50.92</v>
      </c>
      <c r="C4" s="9">
        <v>2.53</v>
      </c>
      <c r="D4" s="9">
        <f>C4/$C$6*$D$6</f>
        <v>6.708333333333334</v>
      </c>
      <c r="E4" s="9">
        <f>(B4+D4)*$D$1</f>
        <v>1796.2751500000002</v>
      </c>
      <c r="F4" s="39">
        <f>1635+30</f>
        <v>1665</v>
      </c>
      <c r="G4" s="39">
        <f>-E4+F4</f>
        <v>-131.27515000000017</v>
      </c>
    </row>
    <row r="5" spans="1:7" s="35" customFormat="1" ht="15">
      <c r="A5" s="13" t="s">
        <v>69</v>
      </c>
      <c r="B5" s="9">
        <v>12.73</v>
      </c>
      <c r="C5" s="40">
        <v>0.11</v>
      </c>
      <c r="D5" s="9">
        <f>C5/$C$6*$D$6</f>
        <v>0.2916666666666667</v>
      </c>
      <c r="E5" s="9">
        <f>(B5+D5)*$D$1</f>
        <v>405.88535</v>
      </c>
      <c r="F5" s="39">
        <v>408</v>
      </c>
      <c r="G5" s="39">
        <f>-E5+F5</f>
        <v>2.1146499999999833</v>
      </c>
    </row>
    <row r="6" spans="1:7" ht="15">
      <c r="A6" s="36"/>
      <c r="B6" s="36"/>
      <c r="C6" s="41">
        <f>SUM(C4:C5)</f>
        <v>2.6399999999999997</v>
      </c>
      <c r="D6" s="41">
        <v>7</v>
      </c>
      <c r="E6" s="36"/>
      <c r="F6" s="11"/>
      <c r="G6" s="11"/>
    </row>
    <row r="9" ht="15">
      <c r="A9" s="38" t="s">
        <v>261</v>
      </c>
    </row>
    <row r="10" ht="15">
      <c r="A10" s="38" t="s">
        <v>269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="73" zoomScaleNormal="73" zoomScalePageLayoutView="0" workbookViewId="0" topLeftCell="A1">
      <selection activeCell="G5" sqref="G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41459</v>
      </c>
      <c r="C1" s="31" t="s">
        <v>252</v>
      </c>
      <c r="D1" s="48">
        <v>33.22</v>
      </c>
      <c r="E1" s="28" t="s">
        <v>253</v>
      </c>
    </row>
    <row r="2" s="28" customFormat="1" ht="15">
      <c r="A2" s="46" t="s">
        <v>342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159</v>
      </c>
      <c r="B4" s="11">
        <v>20.08</v>
      </c>
      <c r="C4" s="11">
        <v>0.39</v>
      </c>
      <c r="D4" s="9">
        <f>C4/$C$9*$D$9</f>
        <v>1.7462686567164178</v>
      </c>
      <c r="E4" s="9">
        <f>(B4+D4)*$D$1</f>
        <v>725.0686447761193</v>
      </c>
      <c r="F4" s="39"/>
      <c r="G4" s="39">
        <f>-E4+F4</f>
        <v>-725.0686447761193</v>
      </c>
    </row>
    <row r="5" spans="1:7" s="35" customFormat="1" ht="15">
      <c r="A5" s="9" t="s">
        <v>147</v>
      </c>
      <c r="B5" s="11">
        <v>5.04</v>
      </c>
      <c r="C5" s="11">
        <v>0.27</v>
      </c>
      <c r="D5" s="9">
        <f>C5/$C$9*$D$9</f>
        <v>1.208955223880597</v>
      </c>
      <c r="E5" s="9">
        <f>(B5+D5)*$D$1</f>
        <v>207.59029253731345</v>
      </c>
      <c r="F5" s="39"/>
      <c r="G5" s="39">
        <f>-E5+F5</f>
        <v>-207.59029253731345</v>
      </c>
    </row>
    <row r="6" spans="1:7" s="35" customFormat="1" ht="15">
      <c r="A6" s="9" t="s">
        <v>25</v>
      </c>
      <c r="B6" s="11">
        <v>34.12</v>
      </c>
      <c r="C6" s="11">
        <v>0.54</v>
      </c>
      <c r="D6" s="9">
        <f>C6/$C$9*$D$9</f>
        <v>2.417910447761194</v>
      </c>
      <c r="E6" s="9">
        <f>(B6+D6)*$D$1</f>
        <v>1213.7893850746268</v>
      </c>
      <c r="F6" s="39">
        <v>1238</v>
      </c>
      <c r="G6" s="39">
        <f>-E6+F6</f>
        <v>24.210614925373193</v>
      </c>
    </row>
    <row r="7" spans="1:7" s="35" customFormat="1" ht="15">
      <c r="A7" s="9" t="s">
        <v>88</v>
      </c>
      <c r="B7" s="11">
        <v>14.39</v>
      </c>
      <c r="C7" s="11">
        <v>0.52</v>
      </c>
      <c r="D7" s="9">
        <f>C7/$C$9*$D$9</f>
        <v>2.328358208955224</v>
      </c>
      <c r="E7" s="9">
        <f>(B7+D7)*$D$1</f>
        <v>555.3838597014925</v>
      </c>
      <c r="F7" s="39">
        <v>566</v>
      </c>
      <c r="G7" s="39">
        <f>-E7+F7</f>
        <v>10.616140298507503</v>
      </c>
    </row>
    <row r="8" spans="1:7" s="35" customFormat="1" ht="15">
      <c r="A8" s="9" t="s">
        <v>260</v>
      </c>
      <c r="B8" s="60">
        <v>20.38</v>
      </c>
      <c r="C8" s="11">
        <v>0.96</v>
      </c>
      <c r="D8" s="9">
        <f>C8/$C$9*$D$9</f>
        <v>4.298507462686567</v>
      </c>
      <c r="E8" s="51"/>
      <c r="F8" s="52"/>
      <c r="G8" s="52"/>
    </row>
    <row r="9" spans="1:7" s="43" customFormat="1" ht="15">
      <c r="A9" s="41"/>
      <c r="B9" s="41"/>
      <c r="C9" s="41">
        <f>SUM(C4:C8)</f>
        <v>2.68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  <col min="8" max="8" width="18.421875" style="0" customWidth="1"/>
  </cols>
  <sheetData>
    <row r="1" spans="1:5" s="28" customFormat="1" ht="21">
      <c r="A1" s="29" t="s">
        <v>251</v>
      </c>
      <c r="B1" s="30">
        <v>41484</v>
      </c>
      <c r="C1" s="31" t="s">
        <v>252</v>
      </c>
      <c r="D1" s="48">
        <v>32.86</v>
      </c>
      <c r="E1" s="28" t="s">
        <v>253</v>
      </c>
    </row>
    <row r="2" s="28" customFormat="1" ht="15">
      <c r="A2" s="46" t="s">
        <v>344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8" s="35" customFormat="1" ht="30">
      <c r="A4" s="9" t="s">
        <v>345</v>
      </c>
      <c r="B4" s="11">
        <v>16.42</v>
      </c>
      <c r="C4" s="11">
        <v>1.15</v>
      </c>
      <c r="D4" s="9">
        <f aca="true" t="shared" si="0" ref="D4:D10">C4/$C$11*$D$11</f>
        <v>5.111111111111111</v>
      </c>
      <c r="E4" s="9">
        <f aca="true" t="shared" si="1" ref="E4:E9">(B4+D4)*$D$1</f>
        <v>707.5123111111111</v>
      </c>
      <c r="F4" s="39">
        <f>729-22</f>
        <v>707</v>
      </c>
      <c r="G4" s="39">
        <f aca="true" t="shared" si="2" ref="G4:G9">-E4+F4</f>
        <v>-0.512311111111103</v>
      </c>
      <c r="H4" s="35" t="s">
        <v>346</v>
      </c>
    </row>
    <row r="5" spans="1:7" s="35" customFormat="1" ht="15">
      <c r="A5" s="9" t="s">
        <v>69</v>
      </c>
      <c r="B5" s="11">
        <v>23.81</v>
      </c>
      <c r="C5" s="11">
        <v>0.69</v>
      </c>
      <c r="D5" s="9">
        <f t="shared" si="0"/>
        <v>3.0666666666666664</v>
      </c>
      <c r="E5" s="9">
        <f t="shared" si="1"/>
        <v>883.1672666666666</v>
      </c>
      <c r="F5" s="39">
        <v>906</v>
      </c>
      <c r="G5" s="39">
        <f t="shared" si="2"/>
        <v>22.832733333333408</v>
      </c>
    </row>
    <row r="6" spans="1:7" s="35" customFormat="1" ht="15">
      <c r="A6" s="9" t="s">
        <v>180</v>
      </c>
      <c r="B6" s="11">
        <v>12.99</v>
      </c>
      <c r="C6" s="11">
        <v>0.03</v>
      </c>
      <c r="D6" s="9">
        <f t="shared" si="0"/>
        <v>0.1333333333333333</v>
      </c>
      <c r="E6" s="9">
        <f t="shared" si="1"/>
        <v>431.23273333333333</v>
      </c>
      <c r="F6" s="39">
        <v>440</v>
      </c>
      <c r="G6" s="39">
        <f t="shared" si="2"/>
        <v>8.767266666666671</v>
      </c>
    </row>
    <row r="7" spans="1:7" s="35" customFormat="1" ht="15">
      <c r="A7" s="9" t="s">
        <v>65</v>
      </c>
      <c r="B7" s="11">
        <v>11.82</v>
      </c>
      <c r="C7" s="11">
        <v>0.42</v>
      </c>
      <c r="D7" s="9">
        <f t="shared" si="0"/>
        <v>1.8666666666666663</v>
      </c>
      <c r="E7" s="9">
        <f t="shared" si="1"/>
        <v>449.7438666666667</v>
      </c>
      <c r="F7" s="39">
        <v>464</v>
      </c>
      <c r="G7" s="39">
        <f t="shared" si="2"/>
        <v>14.25613333333331</v>
      </c>
    </row>
    <row r="8" spans="1:7" s="35" customFormat="1" ht="15">
      <c r="A8" s="9" t="s">
        <v>109</v>
      </c>
      <c r="B8" s="11">
        <v>4.99</v>
      </c>
      <c r="C8" s="11">
        <v>0.19</v>
      </c>
      <c r="D8" s="9">
        <f t="shared" si="0"/>
        <v>0.8444444444444443</v>
      </c>
      <c r="E8" s="9">
        <f t="shared" si="1"/>
        <v>191.71984444444445</v>
      </c>
      <c r="F8" s="39">
        <v>198</v>
      </c>
      <c r="G8" s="39">
        <f t="shared" si="2"/>
        <v>6.280155555555552</v>
      </c>
    </row>
    <row r="9" spans="1:8" s="35" customFormat="1" ht="45">
      <c r="A9" s="9" t="s">
        <v>340</v>
      </c>
      <c r="B9" s="11">
        <v>3.84</v>
      </c>
      <c r="C9" s="11">
        <v>0.14</v>
      </c>
      <c r="D9" s="9">
        <f t="shared" si="0"/>
        <v>0.6222222222222222</v>
      </c>
      <c r="E9" s="9">
        <f t="shared" si="1"/>
        <v>146.6286222222222</v>
      </c>
      <c r="F9" s="39">
        <v>140</v>
      </c>
      <c r="G9" s="39">
        <f t="shared" si="2"/>
        <v>-6.628622222222191</v>
      </c>
      <c r="H9" s="53" t="s">
        <v>347</v>
      </c>
    </row>
    <row r="10" spans="1:7" s="35" customFormat="1" ht="15">
      <c r="A10" s="9" t="s">
        <v>260</v>
      </c>
      <c r="B10" s="60">
        <v>5</v>
      </c>
      <c r="C10" s="11">
        <v>0.08</v>
      </c>
      <c r="D10" s="9">
        <f t="shared" si="0"/>
        <v>0.3555555555555555</v>
      </c>
      <c r="E10" s="51"/>
      <c r="F10" s="52"/>
      <c r="G10" s="52"/>
    </row>
    <row r="11" spans="1:7" s="43" customFormat="1" ht="15">
      <c r="A11" s="41"/>
      <c r="B11" s="41"/>
      <c r="C11" s="41">
        <f>SUM(C4:C10)</f>
        <v>2.7</v>
      </c>
      <c r="D11" s="41">
        <v>12</v>
      </c>
      <c r="E11" s="41"/>
      <c r="F11" s="41"/>
      <c r="G11" s="41"/>
    </row>
    <row r="14" ht="31.5">
      <c r="A14" s="49"/>
    </row>
    <row r="15" ht="31.5">
      <c r="A15" s="49"/>
    </row>
    <row r="16" ht="15">
      <c r="A16" s="38"/>
    </row>
    <row r="17" ht="15">
      <c r="A17" s="38"/>
    </row>
    <row r="18" ht="15">
      <c r="A1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41484</v>
      </c>
      <c r="C1" s="31" t="s">
        <v>252</v>
      </c>
      <c r="D1" s="48">
        <v>32.86</v>
      </c>
      <c r="E1" s="28" t="s">
        <v>253</v>
      </c>
    </row>
    <row r="2" s="28" customFormat="1" ht="15">
      <c r="A2" s="46" t="s">
        <v>344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131</v>
      </c>
      <c r="B4" s="11">
        <v>14.78</v>
      </c>
      <c r="C4" s="11">
        <v>1.08</v>
      </c>
      <c r="D4" s="9">
        <f>C4/$C$8*$D$8</f>
        <v>4.817843866171003</v>
      </c>
      <c r="E4" s="9">
        <f>(B4+D4)*$D$1</f>
        <v>643.9851494423792</v>
      </c>
      <c r="F4" s="39">
        <f>659</f>
        <v>659</v>
      </c>
      <c r="G4" s="39">
        <f>-E4+F4</f>
        <v>15.014850557620775</v>
      </c>
    </row>
    <row r="5" spans="1:7" s="35" customFormat="1" ht="15">
      <c r="A5" s="9" t="s">
        <v>233</v>
      </c>
      <c r="B5" s="11">
        <v>20.91</v>
      </c>
      <c r="C5" s="11">
        <v>0.79</v>
      </c>
      <c r="D5" s="9">
        <f>C5/$C$8*$D$8</f>
        <v>3.5241635687732336</v>
      </c>
      <c r="E5" s="9">
        <f>(B5+D5)*$D$1</f>
        <v>802.9066148698885</v>
      </c>
      <c r="F5" s="39">
        <v>828</v>
      </c>
      <c r="G5" s="39">
        <f>-E5+F5</f>
        <v>25.09338513011153</v>
      </c>
    </row>
    <row r="6" spans="1:7" s="35" customFormat="1" ht="15">
      <c r="A6" s="9" t="s">
        <v>154</v>
      </c>
      <c r="B6" s="11">
        <v>11.87</v>
      </c>
      <c r="C6" s="11">
        <v>0.62</v>
      </c>
      <c r="D6" s="9">
        <f>C6/$C$8*$D$8</f>
        <v>2.765799256505576</v>
      </c>
      <c r="E6" s="9">
        <f>(B6+D6)*$D$1</f>
        <v>480.93236356877316</v>
      </c>
      <c r="F6" s="39">
        <v>489</v>
      </c>
      <c r="G6" s="39">
        <f>-E6+F6</f>
        <v>8.067636431226845</v>
      </c>
    </row>
    <row r="7" spans="1:7" s="35" customFormat="1" ht="15">
      <c r="A7" s="9" t="s">
        <v>260</v>
      </c>
      <c r="B7" s="60">
        <v>7.95</v>
      </c>
      <c r="C7" s="11">
        <v>0.2</v>
      </c>
      <c r="D7" s="9">
        <f>C7/$C$8*$D$8</f>
        <v>0.8921933085501857</v>
      </c>
      <c r="E7" s="51"/>
      <c r="F7" s="52"/>
      <c r="G7" s="52"/>
    </row>
    <row r="8" spans="1:7" s="43" customFormat="1" ht="15">
      <c r="A8" s="41"/>
      <c r="B8" s="41"/>
      <c r="C8" s="41">
        <f>SUM(C4:C7)</f>
        <v>2.6900000000000004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indexed="10"/>
  </sheetPr>
  <dimension ref="A1:G1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41487</v>
      </c>
      <c r="C1" s="31" t="s">
        <v>252</v>
      </c>
      <c r="D1" s="48">
        <v>33.1</v>
      </c>
      <c r="E1" s="28" t="s">
        <v>253</v>
      </c>
    </row>
    <row r="2" s="28" customFormat="1" ht="15">
      <c r="A2" s="46" t="s">
        <v>348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336</v>
      </c>
      <c r="B4" s="11">
        <v>12.93</v>
      </c>
      <c r="C4" s="11">
        <v>0.22</v>
      </c>
      <c r="D4" s="9">
        <f aca="true" t="shared" si="0" ref="D4:D9">C4/$C$10*$D$10</f>
        <v>0.9777777777777776</v>
      </c>
      <c r="E4" s="9">
        <f>(B4+D4)*$D$1</f>
        <v>460.3474444444445</v>
      </c>
      <c r="F4" s="39">
        <v>875</v>
      </c>
      <c r="G4" s="39">
        <f>-E4+F4</f>
        <v>414.6525555555555</v>
      </c>
    </row>
    <row r="5" spans="1:7" s="35" customFormat="1" ht="15">
      <c r="A5" s="9" t="s">
        <v>69</v>
      </c>
      <c r="B5" s="11">
        <v>28.01</v>
      </c>
      <c r="C5" s="11">
        <v>0.87</v>
      </c>
      <c r="D5" s="9">
        <f t="shared" si="0"/>
        <v>3.8666666666666663</v>
      </c>
      <c r="E5" s="9">
        <f>(B5+D5)*$D$1</f>
        <v>1055.1176666666668</v>
      </c>
      <c r="F5" s="39">
        <v>1423</v>
      </c>
      <c r="G5" s="39">
        <f>-E5+F5</f>
        <v>367.88233333333324</v>
      </c>
    </row>
    <row r="6" spans="1:7" s="35" customFormat="1" ht="15">
      <c r="A6" s="9" t="s">
        <v>19</v>
      </c>
      <c r="B6" s="11">
        <v>6.64</v>
      </c>
      <c r="C6" s="11">
        <v>0.38</v>
      </c>
      <c r="D6" s="9">
        <f t="shared" si="0"/>
        <v>1.6888888888888887</v>
      </c>
      <c r="E6" s="9">
        <f>(B6+D6)*$D$1</f>
        <v>275.6862222222222</v>
      </c>
      <c r="F6" s="39">
        <v>280</v>
      </c>
      <c r="G6" s="39">
        <f>-E6+F6</f>
        <v>4.313777777777773</v>
      </c>
    </row>
    <row r="7" spans="1:7" s="35" customFormat="1" ht="15">
      <c r="A7" s="9" t="s">
        <v>224</v>
      </c>
      <c r="B7" s="11">
        <v>16.32</v>
      </c>
      <c r="C7" s="11">
        <v>0.79</v>
      </c>
      <c r="D7" s="9">
        <f t="shared" si="0"/>
        <v>3.511111111111111</v>
      </c>
      <c r="E7" s="9">
        <f>(B7+D7)*$D$1</f>
        <v>656.4097777777779</v>
      </c>
      <c r="F7" s="39">
        <v>658</v>
      </c>
      <c r="G7" s="39">
        <f>-E7+F7</f>
        <v>1.5902222222221098</v>
      </c>
    </row>
    <row r="8" spans="1:7" s="35" customFormat="1" ht="15">
      <c r="A8" s="9" t="s">
        <v>144</v>
      </c>
      <c r="B8" s="64">
        <v>11.87</v>
      </c>
      <c r="C8" s="65">
        <v>0.11</v>
      </c>
      <c r="D8" s="9">
        <f t="shared" si="0"/>
        <v>0.4888888888888888</v>
      </c>
      <c r="E8" s="9">
        <f>(B8+D8)*$D$1</f>
        <v>409.0792222222222</v>
      </c>
      <c r="F8" s="39">
        <v>690</v>
      </c>
      <c r="G8" s="39">
        <f>-E8+F8</f>
        <v>280.9207777777778</v>
      </c>
    </row>
    <row r="9" spans="1:7" s="35" customFormat="1" ht="15">
      <c r="A9" s="9" t="s">
        <v>260</v>
      </c>
      <c r="B9" s="60">
        <v>22.5</v>
      </c>
      <c r="C9" s="11">
        <v>0.33</v>
      </c>
      <c r="D9" s="9">
        <f t="shared" si="0"/>
        <v>1.4666666666666666</v>
      </c>
      <c r="E9" s="51"/>
      <c r="F9" s="52"/>
      <c r="G9" s="52"/>
    </row>
    <row r="10" spans="1:7" s="43" customFormat="1" ht="15">
      <c r="A10" s="41"/>
      <c r="B10" s="41"/>
      <c r="C10" s="41">
        <f>SUM(C4:C9)</f>
        <v>2.7</v>
      </c>
      <c r="D10" s="41">
        <v>12</v>
      </c>
      <c r="E10" s="41"/>
      <c r="F10" s="41"/>
      <c r="G10" s="41"/>
    </row>
    <row r="13" ht="31.5">
      <c r="A13" s="49"/>
    </row>
    <row r="14" ht="31.5">
      <c r="A14" s="49"/>
    </row>
    <row r="15" ht="15">
      <c r="A15" s="38"/>
    </row>
    <row r="16" ht="15">
      <c r="A16" s="38"/>
    </row>
    <row r="17" ht="15">
      <c r="A17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41491</v>
      </c>
      <c r="C1" s="31" t="s">
        <v>252</v>
      </c>
      <c r="D1" s="48">
        <v>32.98</v>
      </c>
      <c r="E1" s="28" t="s">
        <v>253</v>
      </c>
    </row>
    <row r="2" s="28" customFormat="1" ht="15">
      <c r="A2" s="46" t="s">
        <v>349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100</v>
      </c>
      <c r="B4" s="11">
        <v>44.57</v>
      </c>
      <c r="C4" s="11">
        <v>1.99</v>
      </c>
      <c r="D4" s="9">
        <f>C4/$C$8*$D$8</f>
        <v>8.811808118081181</v>
      </c>
      <c r="E4" s="9">
        <f>(B4+D4)*$D$1</f>
        <v>1760.5320317343171</v>
      </c>
      <c r="F4" s="39"/>
      <c r="G4" s="39">
        <f>-E4+F4</f>
        <v>-1760.5320317343171</v>
      </c>
    </row>
    <row r="5" spans="1:7" s="35" customFormat="1" ht="15">
      <c r="A5" s="9" t="s">
        <v>69</v>
      </c>
      <c r="B5" s="11">
        <v>8.5</v>
      </c>
      <c r="C5" s="11">
        <v>0.43</v>
      </c>
      <c r="D5" s="9">
        <f>C5/$C$8*$D$8</f>
        <v>1.9040590405904059</v>
      </c>
      <c r="E5" s="9">
        <f>(B5+D5)*$D$1</f>
        <v>343.12586715867155</v>
      </c>
      <c r="F5" s="39"/>
      <c r="G5" s="39">
        <f>-E5+F5</f>
        <v>-343.12586715867155</v>
      </c>
    </row>
    <row r="6" spans="1:7" s="35" customFormat="1" ht="15">
      <c r="A6" s="9" t="s">
        <v>35</v>
      </c>
      <c r="B6" s="40">
        <v>21.28</v>
      </c>
      <c r="C6" s="40">
        <v>0.24</v>
      </c>
      <c r="D6" s="9">
        <f>C6/$C$8*$D$8</f>
        <v>1.0627306273062729</v>
      </c>
      <c r="E6" s="9">
        <f>(B6+D6)*$D$1</f>
        <v>736.8632560885609</v>
      </c>
      <c r="F6" s="39">
        <v>746</v>
      </c>
      <c r="G6" s="39">
        <f>-E6+F6</f>
        <v>9.136743911439112</v>
      </c>
    </row>
    <row r="7" spans="1:7" s="35" customFormat="1" ht="15">
      <c r="A7" s="9" t="s">
        <v>260</v>
      </c>
      <c r="B7" s="40">
        <v>12.99</v>
      </c>
      <c r="C7" s="40">
        <v>0.05</v>
      </c>
      <c r="D7" s="9">
        <f>C7/$C$8*$D$8</f>
        <v>0.22140221402214022</v>
      </c>
      <c r="E7" s="51"/>
      <c r="F7" s="52"/>
      <c r="G7" s="52"/>
    </row>
    <row r="8" spans="1:7" s="43" customFormat="1" ht="15">
      <c r="A8" s="41"/>
      <c r="B8" s="41"/>
      <c r="C8" s="41">
        <f>SUM(C4:C7)</f>
        <v>2.71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41491</v>
      </c>
      <c r="C1" s="31" t="s">
        <v>252</v>
      </c>
      <c r="D1" s="48">
        <v>32.98</v>
      </c>
      <c r="E1" s="28" t="s">
        <v>253</v>
      </c>
    </row>
    <row r="2" s="28" customFormat="1" ht="15">
      <c r="A2" s="46" t="s">
        <v>349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350</v>
      </c>
      <c r="B4" s="40">
        <v>8.82</v>
      </c>
      <c r="C4" s="40">
        <v>0.07</v>
      </c>
      <c r="D4" s="9">
        <f>C4/$C$7*$D$7</f>
        <v>0.30996309963099633</v>
      </c>
      <c r="E4" s="9">
        <f>(B4+D4)*$D$1</f>
        <v>301.10618302583026</v>
      </c>
      <c r="F4" s="39"/>
      <c r="G4" s="39">
        <f>-E4+F4</f>
        <v>-301.10618302583026</v>
      </c>
    </row>
    <row r="5" spans="1:7" s="35" customFormat="1" ht="15">
      <c r="A5" s="9" t="s">
        <v>61</v>
      </c>
      <c r="B5" s="11">
        <v>26.78</v>
      </c>
      <c r="C5" s="11">
        <v>2.49</v>
      </c>
      <c r="D5" s="9">
        <f>C5/$C$7*$D$7</f>
        <v>11.025830258302584</v>
      </c>
      <c r="E5" s="9">
        <f>(B5+D5)*$D$1</f>
        <v>1246.8362819188192</v>
      </c>
      <c r="F5" s="66">
        <v>1300</v>
      </c>
      <c r="G5" s="39">
        <f>-E5+F5</f>
        <v>53.16371808118083</v>
      </c>
    </row>
    <row r="6" spans="1:7" s="35" customFormat="1" ht="15">
      <c r="A6" s="9" t="s">
        <v>274</v>
      </c>
      <c r="B6" s="60">
        <v>29.950000000000003</v>
      </c>
      <c r="C6" s="11">
        <v>0.15</v>
      </c>
      <c r="D6" s="9">
        <f>C6/$C$7*$D$7</f>
        <v>0.6642066420664207</v>
      </c>
      <c r="E6" s="51"/>
      <c r="F6" s="52"/>
      <c r="G6" s="52"/>
    </row>
    <row r="7" spans="1:7" s="43" customFormat="1" ht="15">
      <c r="A7" s="41"/>
      <c r="B7" s="41"/>
      <c r="C7" s="41">
        <f>SUM(C4:C6)</f>
        <v>2.71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41491</v>
      </c>
      <c r="C1" s="31" t="s">
        <v>252</v>
      </c>
      <c r="D1" s="48">
        <v>32.98</v>
      </c>
      <c r="E1" s="28" t="s">
        <v>253</v>
      </c>
    </row>
    <row r="2" s="28" customFormat="1" ht="15">
      <c r="A2" s="46" t="s">
        <v>349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336</v>
      </c>
      <c r="B4" s="40">
        <v>11.04</v>
      </c>
      <c r="C4" s="40">
        <v>0.24</v>
      </c>
      <c r="D4" s="9">
        <f>C4/$C$6*$D$6</f>
        <v>1.070631970260223</v>
      </c>
      <c r="E4" s="9">
        <f>(B4+D4)*$D$1</f>
        <v>399.4086423791821</v>
      </c>
      <c r="F4" s="39"/>
      <c r="G4" s="39">
        <f>-E4+F4</f>
        <v>-399.4086423791821</v>
      </c>
    </row>
    <row r="5" spans="1:7" s="35" customFormat="1" ht="15">
      <c r="A5" s="9" t="s">
        <v>274</v>
      </c>
      <c r="B5" s="60">
        <v>54.11</v>
      </c>
      <c r="C5" s="11">
        <v>2.45</v>
      </c>
      <c r="D5" s="9">
        <f>C5/$C$6*$D$6</f>
        <v>10.929368029739777</v>
      </c>
      <c r="E5" s="51"/>
      <c r="F5" s="52"/>
      <c r="G5" s="52"/>
    </row>
    <row r="6" spans="1:7" s="43" customFormat="1" ht="15">
      <c r="A6" s="41"/>
      <c r="B6" s="41"/>
      <c r="C6" s="41">
        <f>SUM(C4:C5)</f>
        <v>2.6900000000000004</v>
      </c>
      <c r="D6" s="41">
        <v>12</v>
      </c>
      <c r="E6" s="41"/>
      <c r="F6" s="41"/>
      <c r="G6" s="41"/>
    </row>
    <row r="9" ht="31.5">
      <c r="A9" s="49"/>
    </row>
    <row r="10" ht="31.5">
      <c r="A10" s="49"/>
    </row>
    <row r="11" ht="15">
      <c r="A11" s="38"/>
    </row>
    <row r="12" ht="15">
      <c r="A12" s="38"/>
    </row>
    <row r="13" ht="15">
      <c r="A13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41500</v>
      </c>
      <c r="C1" s="31" t="s">
        <v>252</v>
      </c>
      <c r="D1" s="48">
        <v>33.16</v>
      </c>
      <c r="E1" s="28" t="s">
        <v>253</v>
      </c>
    </row>
    <row r="2" s="28" customFormat="1" ht="15">
      <c r="A2" s="46" t="s">
        <v>351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69</v>
      </c>
      <c r="B4" s="11">
        <v>5.39</v>
      </c>
      <c r="C4" s="11">
        <v>0.91</v>
      </c>
      <c r="D4" s="9">
        <f>C4/$C$9*$D$9</f>
        <v>4.120754716981132</v>
      </c>
      <c r="E4" s="9">
        <f>(B4+D4)*$D$1</f>
        <v>315.37662641509434</v>
      </c>
      <c r="F4" s="39">
        <v>321</v>
      </c>
      <c r="G4" s="39">
        <f>-E4+F4</f>
        <v>5.623373584905664</v>
      </c>
    </row>
    <row r="5" spans="1:7" s="35" customFormat="1" ht="15">
      <c r="A5" s="9" t="s">
        <v>61</v>
      </c>
      <c r="B5" s="11">
        <v>6.83</v>
      </c>
      <c r="C5" s="11">
        <v>0.16</v>
      </c>
      <c r="D5" s="9">
        <f>C5/$C$9*$D$9</f>
        <v>0.7245283018867925</v>
      </c>
      <c r="E5" s="9">
        <f>(B5+D5)*$D$1</f>
        <v>250.50815849056602</v>
      </c>
      <c r="F5" s="39">
        <f>35</f>
        <v>35</v>
      </c>
      <c r="G5" s="39">
        <f>-E5+F5</f>
        <v>-215.50815849056602</v>
      </c>
    </row>
    <row r="6" spans="1:7" s="35" customFormat="1" ht="15">
      <c r="A6" s="9" t="s">
        <v>67</v>
      </c>
      <c r="B6" s="40">
        <v>71.65</v>
      </c>
      <c r="C6" s="40">
        <v>0.69</v>
      </c>
      <c r="D6" s="9">
        <f>C6/$C$9*$D$9</f>
        <v>3.1245283018867926</v>
      </c>
      <c r="E6" s="9">
        <f>(B6+D6)*$D$1</f>
        <v>2479.5233584905664</v>
      </c>
      <c r="F6" s="39">
        <v>4439</v>
      </c>
      <c r="G6" s="39">
        <f>-E6+F6</f>
        <v>1959.4766415094336</v>
      </c>
    </row>
    <row r="7" spans="1:7" s="35" customFormat="1" ht="15">
      <c r="A7" s="9" t="s">
        <v>84</v>
      </c>
      <c r="B7" s="40">
        <v>7.69</v>
      </c>
      <c r="C7" s="40">
        <v>0.31</v>
      </c>
      <c r="D7" s="9">
        <f>C7/$C$9*$D$9</f>
        <v>1.4037735849056605</v>
      </c>
      <c r="E7" s="9">
        <f>(B7+D7)*$D$1</f>
        <v>301.5495320754717</v>
      </c>
      <c r="F7" s="39">
        <v>307</v>
      </c>
      <c r="G7" s="39">
        <f>-E7+F7</f>
        <v>5.450467924528311</v>
      </c>
    </row>
    <row r="8" spans="1:7" s="35" customFormat="1" ht="15">
      <c r="A8" s="9" t="s">
        <v>260</v>
      </c>
      <c r="B8" s="40">
        <v>5.7</v>
      </c>
      <c r="C8" s="40">
        <v>0.58</v>
      </c>
      <c r="D8" s="9">
        <f>C8/$C$9*$D$9</f>
        <v>2.6264150943396225</v>
      </c>
      <c r="E8" s="51"/>
      <c r="F8" s="52"/>
      <c r="G8" s="52"/>
    </row>
    <row r="9" spans="1:7" s="43" customFormat="1" ht="15">
      <c r="A9" s="41"/>
      <c r="B9" s="41"/>
      <c r="C9" s="41">
        <f>SUM(C4:C8)</f>
        <v>2.65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  <col min="8" max="8" width="21.8515625" style="0" customWidth="1"/>
  </cols>
  <sheetData>
    <row r="1" spans="1:5" s="28" customFormat="1" ht="21">
      <c r="A1" s="29" t="s">
        <v>251</v>
      </c>
      <c r="B1" s="30">
        <v>41502</v>
      </c>
      <c r="C1" s="31" t="s">
        <v>252</v>
      </c>
      <c r="D1" s="48">
        <v>33.51</v>
      </c>
      <c r="E1" s="28" t="s">
        <v>253</v>
      </c>
    </row>
    <row r="2" s="28" customFormat="1" ht="15">
      <c r="A2" s="46"/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61</v>
      </c>
      <c r="B4" s="11">
        <v>8.6</v>
      </c>
      <c r="C4" s="11">
        <v>0.46</v>
      </c>
      <c r="D4" s="9">
        <f>C4/$C$9*$D$9</f>
        <v>2.0444444444444443</v>
      </c>
      <c r="E4" s="9">
        <f>(B4+D4)*$D$1</f>
        <v>356.6953333333333</v>
      </c>
      <c r="F4" s="39"/>
      <c r="G4" s="39">
        <f>-E4+F4</f>
        <v>-356.6953333333333</v>
      </c>
    </row>
    <row r="5" spans="1:7" s="35" customFormat="1" ht="15">
      <c r="A5" s="9" t="s">
        <v>67</v>
      </c>
      <c r="B5" s="40">
        <v>55.98</v>
      </c>
      <c r="C5" s="40">
        <v>0.14</v>
      </c>
      <c r="D5" s="9">
        <f>C5/$C$9*$D$9</f>
        <v>0.6222222222222222</v>
      </c>
      <c r="E5" s="9">
        <f>(B5+D5)*$D$1</f>
        <v>1896.7404666666664</v>
      </c>
      <c r="F5" s="39"/>
      <c r="G5" s="39">
        <f>-E5+F5</f>
        <v>-1896.7404666666664</v>
      </c>
    </row>
    <row r="6" spans="1:8" s="35" customFormat="1" ht="35.25" customHeight="1">
      <c r="A6" s="9" t="s">
        <v>123</v>
      </c>
      <c r="B6" s="40">
        <v>5.57</v>
      </c>
      <c r="C6" s="40">
        <v>0.38</v>
      </c>
      <c r="D6" s="9">
        <f>C6/$C$9*$D$9</f>
        <v>1.6888888888888887</v>
      </c>
      <c r="E6" s="9">
        <f>(B6+D6)*$D$1</f>
        <v>243.24536666666663</v>
      </c>
      <c r="F6" s="39">
        <v>238</v>
      </c>
      <c r="G6" s="39">
        <f>-E6+F6</f>
        <v>-5.2453666666666265</v>
      </c>
      <c r="H6" s="63" t="s">
        <v>352</v>
      </c>
    </row>
    <row r="7" spans="1:7" s="35" customFormat="1" ht="15" customHeight="1">
      <c r="A7" s="9" t="s">
        <v>141</v>
      </c>
      <c r="B7" s="40">
        <v>18.77</v>
      </c>
      <c r="C7" s="40">
        <v>1.32</v>
      </c>
      <c r="D7" s="9">
        <f>C7/$C$9*$D$9</f>
        <v>5.866666666666666</v>
      </c>
      <c r="E7" s="9">
        <f>(B7+D7)*$D$1</f>
        <v>825.5747</v>
      </c>
      <c r="F7" s="39">
        <v>830</v>
      </c>
      <c r="G7" s="39">
        <f>-E7+F7</f>
        <v>4.425299999999993</v>
      </c>
    </row>
    <row r="8" spans="1:7" s="35" customFormat="1" ht="15">
      <c r="A8" s="9" t="s">
        <v>260</v>
      </c>
      <c r="B8" s="40">
        <v>7.66</v>
      </c>
      <c r="C8" s="40">
        <v>0.4</v>
      </c>
      <c r="D8" s="9">
        <f>C8/$C$9*$D$9</f>
        <v>1.7777777777777777</v>
      </c>
      <c r="E8" s="51"/>
      <c r="F8" s="52"/>
      <c r="G8" s="52"/>
    </row>
    <row r="9" spans="1:7" s="43" customFormat="1" ht="15">
      <c r="A9" s="41"/>
      <c r="B9" s="41"/>
      <c r="C9" s="41">
        <f>SUM(C4:C8)</f>
        <v>2.7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indexed="10"/>
  </sheetPr>
  <dimension ref="A1:G1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41503</v>
      </c>
      <c r="C1" s="31" t="s">
        <v>252</v>
      </c>
      <c r="D1" s="48">
        <v>33.51</v>
      </c>
      <c r="E1" s="28" t="s">
        <v>253</v>
      </c>
    </row>
    <row r="2" s="28" customFormat="1" ht="15">
      <c r="A2" s="46"/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100</v>
      </c>
      <c r="B4" s="11">
        <v>3.37</v>
      </c>
      <c r="C4" s="11">
        <v>0.19</v>
      </c>
      <c r="D4" s="9">
        <f aca="true" t="shared" si="0" ref="D4:D9">C4/$C$10*$D$10</f>
        <v>0.8571428571428571</v>
      </c>
      <c r="E4" s="9">
        <f>(B4+D4)*$D$1</f>
        <v>141.65155714285711</v>
      </c>
      <c r="F4" s="39">
        <f>1903+39</f>
        <v>1942</v>
      </c>
      <c r="G4" s="39">
        <f>-E4+F4</f>
        <v>1800.3484428571428</v>
      </c>
    </row>
    <row r="5" spans="1:7" s="35" customFormat="1" ht="15">
      <c r="A5" s="9" t="s">
        <v>353</v>
      </c>
      <c r="B5" s="40">
        <v>6.74</v>
      </c>
      <c r="C5" s="40">
        <v>0.38</v>
      </c>
      <c r="D5" s="9">
        <f t="shared" si="0"/>
        <v>1.7142857142857142</v>
      </c>
      <c r="E5" s="9">
        <f>(B5+D5)*$D$1</f>
        <v>283.30311428571423</v>
      </c>
      <c r="F5" s="39">
        <v>284</v>
      </c>
      <c r="G5" s="39">
        <f>-E5+F5</f>
        <v>0.6968857142857701</v>
      </c>
    </row>
    <row r="6" spans="1:7" s="35" customFormat="1" ht="15" customHeight="1">
      <c r="A6" s="9" t="s">
        <v>143</v>
      </c>
      <c r="B6" s="40">
        <v>24.72</v>
      </c>
      <c r="C6" s="40">
        <v>0.67</v>
      </c>
      <c r="D6" s="9">
        <f t="shared" si="0"/>
        <v>3.022556390977444</v>
      </c>
      <c r="E6" s="9">
        <f>(B6+D6)*$D$1</f>
        <v>929.653064661654</v>
      </c>
      <c r="F6" s="39">
        <v>920</v>
      </c>
      <c r="G6" s="39">
        <f>-E6+F6</f>
        <v>-9.653064661653957</v>
      </c>
    </row>
    <row r="7" spans="1:7" s="35" customFormat="1" ht="15" customHeight="1">
      <c r="A7" s="9" t="s">
        <v>220</v>
      </c>
      <c r="B7" s="40">
        <v>6</v>
      </c>
      <c r="C7" s="40">
        <v>0.43</v>
      </c>
      <c r="D7" s="9">
        <f t="shared" si="0"/>
        <v>1.9398496240601504</v>
      </c>
      <c r="E7" s="9">
        <f>(B7+D7)*$D$1</f>
        <v>266.0643609022556</v>
      </c>
      <c r="F7" s="39">
        <v>150</v>
      </c>
      <c r="G7" s="39">
        <f>-E7+F7</f>
        <v>-116.0643609022556</v>
      </c>
    </row>
    <row r="8" spans="1:7" s="35" customFormat="1" ht="15">
      <c r="A8" s="9" t="s">
        <v>188</v>
      </c>
      <c r="B8" s="40">
        <v>8.28</v>
      </c>
      <c r="C8" s="40">
        <v>0.4</v>
      </c>
      <c r="D8" s="9">
        <f t="shared" si="0"/>
        <v>1.8045112781954886</v>
      </c>
      <c r="E8" s="9">
        <f>(B8+D8)*$D$1</f>
        <v>337.93197293233084</v>
      </c>
      <c r="F8" s="39">
        <v>339</v>
      </c>
      <c r="G8" s="39">
        <f>-E8+F8</f>
        <v>1.0680270676691634</v>
      </c>
    </row>
    <row r="9" spans="1:7" s="35" customFormat="1" ht="15">
      <c r="A9" s="9" t="s">
        <v>260</v>
      </c>
      <c r="B9" s="40">
        <v>26.56</v>
      </c>
      <c r="C9" s="40">
        <v>0.59</v>
      </c>
      <c r="D9" s="9">
        <f t="shared" si="0"/>
        <v>2.661654135338346</v>
      </c>
      <c r="E9" s="51"/>
      <c r="F9" s="52"/>
      <c r="G9" s="52"/>
    </row>
    <row r="10" spans="1:7" s="43" customFormat="1" ht="15">
      <c r="A10" s="41"/>
      <c r="B10" s="41"/>
      <c r="C10" s="41">
        <f>SUM(C4:C9)</f>
        <v>2.66</v>
      </c>
      <c r="D10" s="41">
        <v>12</v>
      </c>
      <c r="E10" s="41"/>
      <c r="F10" s="41"/>
      <c r="G10" s="41"/>
    </row>
    <row r="13" ht="31.5">
      <c r="A13" s="49"/>
    </row>
    <row r="14" ht="31.5">
      <c r="A14" s="49"/>
    </row>
    <row r="15" ht="15">
      <c r="A15" s="38"/>
    </row>
    <row r="16" ht="15">
      <c r="A16" s="38"/>
    </row>
    <row r="17" ht="15">
      <c r="A17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41191</v>
      </c>
      <c r="C1" s="31" t="s">
        <v>252</v>
      </c>
      <c r="D1" s="32">
        <v>31.17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13" t="s">
        <v>217</v>
      </c>
      <c r="B4" s="9">
        <v>25.2</v>
      </c>
      <c r="C4" s="9">
        <v>1.28</v>
      </c>
      <c r="D4" s="9">
        <f>C4/$C$8*$D$8</f>
        <v>3.3432835820895526</v>
      </c>
      <c r="E4" s="9">
        <f>(B4+D4)*$D$1</f>
        <v>889.6941492537313</v>
      </c>
      <c r="F4" s="39">
        <f>891-1</f>
        <v>890</v>
      </c>
      <c r="G4" s="39">
        <f>-E4+F4</f>
        <v>0.3058507462686748</v>
      </c>
    </row>
    <row r="5" spans="1:7" s="35" customFormat="1" ht="15">
      <c r="A5" s="13" t="s">
        <v>219</v>
      </c>
      <c r="B5" s="9">
        <v>13.23</v>
      </c>
      <c r="C5" s="9">
        <v>0.73</v>
      </c>
      <c r="D5" s="9">
        <f>C5/$C$8*$D$8</f>
        <v>1.9067164179104479</v>
      </c>
      <c r="E5" s="9">
        <f>(B5+D5)*$D$1</f>
        <v>471.81145074626875</v>
      </c>
      <c r="F5" s="39">
        <v>472</v>
      </c>
      <c r="G5" s="39">
        <f>-E5+F5</f>
        <v>0.18854925373125297</v>
      </c>
    </row>
    <row r="6" spans="1:7" s="35" customFormat="1" ht="15">
      <c r="A6" s="13" t="s">
        <v>78</v>
      </c>
      <c r="B6" s="9">
        <v>1.41</v>
      </c>
      <c r="C6" s="9">
        <v>0.03</v>
      </c>
      <c r="D6" s="9">
        <f>C6/$C$8*$D$8</f>
        <v>0.07835820895522388</v>
      </c>
      <c r="E6" s="9">
        <f>(B6+D6)*9!$D$1</f>
        <v>46.39212537313433</v>
      </c>
      <c r="F6" s="39">
        <v>47</v>
      </c>
      <c r="G6" s="39">
        <f>-E6+F6</f>
        <v>0.607874626865673</v>
      </c>
    </row>
    <row r="7" spans="1:7" s="35" customFormat="1" ht="15">
      <c r="A7" s="13" t="s">
        <v>69</v>
      </c>
      <c r="B7" s="9">
        <v>36.94</v>
      </c>
      <c r="C7" s="40">
        <v>0.64</v>
      </c>
      <c r="D7" s="9">
        <f>C7/$C$8*$D$8</f>
        <v>1.6716417910447763</v>
      </c>
      <c r="E7" s="9">
        <f>(B7+D7)*$D$1</f>
        <v>1203.5248746268658</v>
      </c>
      <c r="F7" s="39">
        <v>1206</v>
      </c>
      <c r="G7" s="39">
        <f>-E7+F7</f>
        <v>2.475125373134233</v>
      </c>
    </row>
    <row r="8" spans="1:7" ht="15">
      <c r="A8" s="36"/>
      <c r="B8" s="36"/>
      <c r="C8" s="41">
        <f>SUM(C4:C7)</f>
        <v>2.6799999999999997</v>
      </c>
      <c r="D8" s="41">
        <v>7</v>
      </c>
      <c r="E8" s="36"/>
      <c r="F8" s="11"/>
      <c r="G8" s="11"/>
    </row>
    <row r="11" ht="15">
      <c r="A11" s="38" t="s">
        <v>261</v>
      </c>
    </row>
    <row r="12" ht="15">
      <c r="A12" s="38" t="s">
        <v>269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41508</v>
      </c>
      <c r="C1" s="31" t="s">
        <v>252</v>
      </c>
      <c r="D1" s="48">
        <v>33.62</v>
      </c>
      <c r="E1" s="28" t="s">
        <v>253</v>
      </c>
    </row>
    <row r="2" s="28" customFormat="1" ht="15">
      <c r="A2" s="46" t="s">
        <v>354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350</v>
      </c>
      <c r="B4" s="11">
        <v>40.84</v>
      </c>
      <c r="C4" s="11">
        <v>0.38</v>
      </c>
      <c r="D4" s="9">
        <f>C4/$C$7*$D$7</f>
        <v>1.7207547169811321</v>
      </c>
      <c r="E4" s="9">
        <f>(B4+D4)*$D$1</f>
        <v>1430.8925735849057</v>
      </c>
      <c r="F4" s="39">
        <v>1420</v>
      </c>
      <c r="G4" s="39">
        <f>-E4+F4</f>
        <v>-10.892573584905676</v>
      </c>
    </row>
    <row r="5" spans="1:7" s="35" customFormat="1" ht="15">
      <c r="A5" s="9" t="s">
        <v>174</v>
      </c>
      <c r="B5" s="40">
        <v>11.31</v>
      </c>
      <c r="C5" s="40">
        <v>0.26</v>
      </c>
      <c r="D5" s="9">
        <f>C5/$C$7*$D$7</f>
        <v>1.177358490566038</v>
      </c>
      <c r="E5" s="9">
        <f>(B5+D5)*$D$1</f>
        <v>419.82499245283014</v>
      </c>
      <c r="F5" s="39">
        <v>420</v>
      </c>
      <c r="G5" s="39">
        <f>-E5+F5</f>
        <v>0.17500754716985512</v>
      </c>
    </row>
    <row r="6" spans="1:7" s="35" customFormat="1" ht="15">
      <c r="A6" s="9" t="s">
        <v>260</v>
      </c>
      <c r="B6" s="40">
        <v>32.38</v>
      </c>
      <c r="C6" s="40">
        <v>2.01</v>
      </c>
      <c r="D6" s="9">
        <f>C6/$C$7*$D$7</f>
        <v>9.101886792452829</v>
      </c>
      <c r="E6" s="51"/>
      <c r="F6" s="52"/>
      <c r="G6" s="52"/>
    </row>
    <row r="7" spans="1:7" s="43" customFormat="1" ht="15">
      <c r="A7" s="41"/>
      <c r="B7" s="41"/>
      <c r="C7" s="41">
        <f>SUM(C4:C6)</f>
        <v>2.65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41515</v>
      </c>
      <c r="C1" s="31" t="s">
        <v>252</v>
      </c>
      <c r="D1" s="48">
        <f>33.1798*1.02</f>
        <v>33.843396</v>
      </c>
      <c r="E1" s="28" t="s">
        <v>253</v>
      </c>
    </row>
    <row r="2" spans="1:4" s="28" customFormat="1" ht="15">
      <c r="A2" s="46" t="s">
        <v>355</v>
      </c>
      <c r="D2" s="28">
        <v>33.82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350</v>
      </c>
      <c r="B4" s="11">
        <v>14.99</v>
      </c>
      <c r="C4" s="11">
        <v>0.19</v>
      </c>
      <c r="D4" s="9">
        <f>C4/$C$8*$D$8</f>
        <v>0.8351648351648352</v>
      </c>
      <c r="E4" s="9">
        <f>(B4+D4)*$D$1</f>
        <v>535.5773202817583</v>
      </c>
      <c r="F4" s="39">
        <v>536</v>
      </c>
      <c r="G4" s="39">
        <f>-E4+F4</f>
        <v>0.42267971824173856</v>
      </c>
    </row>
    <row r="5" spans="1:7" s="35" customFormat="1" ht="15">
      <c r="A5" s="9" t="s">
        <v>143</v>
      </c>
      <c r="B5" s="11">
        <v>28.39</v>
      </c>
      <c r="C5" s="11">
        <v>0.62</v>
      </c>
      <c r="D5" s="9">
        <f>C5/$C$8*$D$8</f>
        <v>2.7252747252747254</v>
      </c>
      <c r="E5" s="9">
        <f>(B5+D5)*$D$1</f>
        <v>1053.0465641762637</v>
      </c>
      <c r="F5" s="39">
        <v>1053</v>
      </c>
      <c r="G5" s="39">
        <f>-E5+F5</f>
        <v>-0.046564176263700574</v>
      </c>
    </row>
    <row r="6" spans="1:7" s="35" customFormat="1" ht="15">
      <c r="A6" s="9" t="s">
        <v>24</v>
      </c>
      <c r="B6" s="40">
        <v>21.57</v>
      </c>
      <c r="C6" s="11">
        <v>0.73</v>
      </c>
      <c r="D6" s="9">
        <f>C6/$C$8*$D$8</f>
        <v>3.208791208791209</v>
      </c>
      <c r="E6" s="9">
        <f>(B6+D6)*$D$1</f>
        <v>838.5984432804395</v>
      </c>
      <c r="F6" s="39">
        <v>839</v>
      </c>
      <c r="G6" s="39">
        <f>-E6+F6</f>
        <v>0.4015567195605172</v>
      </c>
    </row>
    <row r="7" spans="1:7" s="35" customFormat="1" ht="15">
      <c r="A7" s="9" t="s">
        <v>260</v>
      </c>
      <c r="B7" s="40">
        <v>25.05</v>
      </c>
      <c r="C7" s="40">
        <v>1.19</v>
      </c>
      <c r="D7" s="9">
        <f>C7/$C$8*$D$8</f>
        <v>5.230769230769231</v>
      </c>
      <c r="E7" s="51"/>
      <c r="F7" s="52"/>
      <c r="G7" s="52"/>
    </row>
    <row r="8" spans="1:7" s="43" customFormat="1" ht="15">
      <c r="A8" s="41"/>
      <c r="B8" s="41"/>
      <c r="C8" s="41">
        <f>SUM(C4:C7)</f>
        <v>2.73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41519</v>
      </c>
      <c r="C1" s="31" t="s">
        <v>252</v>
      </c>
      <c r="D1" s="48">
        <v>34.04</v>
      </c>
      <c r="E1" s="28" t="s">
        <v>253</v>
      </c>
    </row>
    <row r="2" s="28" customFormat="1" ht="15">
      <c r="A2" s="46" t="s">
        <v>356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85</v>
      </c>
      <c r="B4" s="11">
        <v>36.22</v>
      </c>
      <c r="C4" s="11">
        <v>1.15</v>
      </c>
      <c r="D4" s="9">
        <f>C4/$C$8*$D$8</f>
        <v>5.073529411764705</v>
      </c>
      <c r="E4" s="9">
        <f>(B4+D4)*$D$1</f>
        <v>1405.6317411764703</v>
      </c>
      <c r="F4" s="39">
        <v>1400</v>
      </c>
      <c r="G4" s="39">
        <f>-E4+F4</f>
        <v>-5.631741176470314</v>
      </c>
    </row>
    <row r="5" spans="1:7" s="35" customFormat="1" ht="15">
      <c r="A5" s="9" t="s">
        <v>63</v>
      </c>
      <c r="B5" s="11">
        <v>27.24</v>
      </c>
      <c r="C5" s="11">
        <v>0.32</v>
      </c>
      <c r="D5" s="9">
        <f>C5/$C$8*$D$8</f>
        <v>1.4117647058823528</v>
      </c>
      <c r="E5" s="9">
        <f>(B5+D5)*$D$1</f>
        <v>975.3060705882351</v>
      </c>
      <c r="F5" s="39">
        <v>973</v>
      </c>
      <c r="G5" s="39">
        <f>-E5+F5</f>
        <v>-2.306070588235116</v>
      </c>
    </row>
    <row r="6" spans="1:7" s="35" customFormat="1" ht="15">
      <c r="A6" s="9" t="s">
        <v>56</v>
      </c>
      <c r="B6" s="40">
        <v>17.72</v>
      </c>
      <c r="C6" s="11">
        <v>0.9</v>
      </c>
      <c r="D6" s="9">
        <f>C6/$C$8*$D$8</f>
        <v>3.9705882352941178</v>
      </c>
      <c r="E6" s="9">
        <f>(B6+D6)*$D$1</f>
        <v>738.3476235294116</v>
      </c>
      <c r="F6" s="39">
        <v>729</v>
      </c>
      <c r="G6" s="39">
        <f>-E6+F6</f>
        <v>-9.347623529411635</v>
      </c>
    </row>
    <row r="7" spans="1:7" s="35" customFormat="1" ht="15">
      <c r="A7" s="9" t="s">
        <v>260</v>
      </c>
      <c r="B7" s="40">
        <v>7.76</v>
      </c>
      <c r="C7" s="40">
        <v>0.35</v>
      </c>
      <c r="D7" s="9">
        <f>C7/$C$8*$D$8</f>
        <v>1.5441176470588234</v>
      </c>
      <c r="E7" s="51"/>
      <c r="F7" s="52"/>
      <c r="G7" s="52"/>
    </row>
    <row r="8" spans="1:7" s="43" customFormat="1" ht="15">
      <c r="A8" s="41"/>
      <c r="B8" s="41"/>
      <c r="C8" s="41">
        <f>SUM(C4:C7)</f>
        <v>2.72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41519</v>
      </c>
      <c r="C1" s="31" t="s">
        <v>252</v>
      </c>
      <c r="D1" s="48">
        <v>34.04</v>
      </c>
      <c r="E1" s="28" t="s">
        <v>253</v>
      </c>
    </row>
    <row r="2" s="28" customFormat="1" ht="15">
      <c r="A2" s="46" t="s">
        <v>356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266</v>
      </c>
      <c r="B4" s="11">
        <v>41.34</v>
      </c>
      <c r="C4" s="11">
        <v>0.77</v>
      </c>
      <c r="D4" s="9">
        <f>C4/$C$7*$D$7</f>
        <v>3.4222222222222225</v>
      </c>
      <c r="E4" s="9">
        <f>(B4+D4)*$D$1</f>
        <v>1523.7060444444446</v>
      </c>
      <c r="F4" s="39">
        <v>1500</v>
      </c>
      <c r="G4" s="39">
        <f>-E4+F4</f>
        <v>-23.706044444444615</v>
      </c>
    </row>
    <row r="5" spans="1:7" s="35" customFormat="1" ht="15">
      <c r="A5" s="9" t="s">
        <v>25</v>
      </c>
      <c r="B5" s="11">
        <v>38.6</v>
      </c>
      <c r="C5" s="11">
        <v>1.63</v>
      </c>
      <c r="D5" s="9">
        <f>C5/$C$7*$D$7</f>
        <v>7.244444444444445</v>
      </c>
      <c r="E5" s="9">
        <f>(B5+D5)*$D$1</f>
        <v>1560.544888888889</v>
      </c>
      <c r="F5" s="39">
        <v>1575</v>
      </c>
      <c r="G5" s="39">
        <f>-E5+F5</f>
        <v>14.45511111111091</v>
      </c>
    </row>
    <row r="6" spans="1:7" s="35" customFormat="1" ht="15">
      <c r="A6" s="9" t="s">
        <v>260</v>
      </c>
      <c r="B6" s="40">
        <v>8.02</v>
      </c>
      <c r="C6" s="40">
        <v>0.3</v>
      </c>
      <c r="D6" s="9">
        <f>C6/$C$7*$D$7</f>
        <v>1.3333333333333335</v>
      </c>
      <c r="E6" s="51"/>
      <c r="F6" s="52"/>
      <c r="G6" s="52"/>
    </row>
    <row r="7" spans="1:7" s="43" customFormat="1" ht="15">
      <c r="A7" s="41"/>
      <c r="B7" s="41"/>
      <c r="C7" s="41">
        <f>SUM(C4:C6)</f>
        <v>2.6999999999999997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  <col min="8" max="8" width="48.7109375" style="0" customWidth="1"/>
  </cols>
  <sheetData>
    <row r="1" spans="1:5" s="28" customFormat="1" ht="21">
      <c r="A1" s="29" t="s">
        <v>251</v>
      </c>
      <c r="B1" s="30">
        <v>41532</v>
      </c>
      <c r="C1" s="31" t="s">
        <v>252</v>
      </c>
      <c r="D1" s="48">
        <v>32.88</v>
      </c>
      <c r="E1" s="28" t="s">
        <v>253</v>
      </c>
    </row>
    <row r="2" s="28" customFormat="1" ht="15">
      <c r="A2" s="46" t="s">
        <v>357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143</v>
      </c>
      <c r="B4" s="11">
        <v>33.25</v>
      </c>
      <c r="C4" s="11">
        <v>1.03</v>
      </c>
      <c r="D4" s="9">
        <f>C4/$C$8*$D$8</f>
        <v>4.5441176470588225</v>
      </c>
      <c r="E4" s="9">
        <f>(B4+D4)*$D$1</f>
        <v>1242.6705882352942</v>
      </c>
      <c r="F4" s="39">
        <v>1262</v>
      </c>
      <c r="G4" s="39">
        <f>-E4+F4</f>
        <v>19.32941176470581</v>
      </c>
    </row>
    <row r="5" spans="1:7" s="35" customFormat="1" ht="15">
      <c r="A5" s="9" t="s">
        <v>266</v>
      </c>
      <c r="B5" s="11">
        <v>26.27</v>
      </c>
      <c r="C5" s="11">
        <v>1.21</v>
      </c>
      <c r="D5" s="9">
        <f>C5/$C$8*$D$8</f>
        <v>5.338235294117645</v>
      </c>
      <c r="E5" s="9">
        <f>(B5+D5)*$D$1</f>
        <v>1039.2787764705881</v>
      </c>
      <c r="F5" s="39">
        <v>1080</v>
      </c>
      <c r="G5" s="39">
        <f>-E5+F5</f>
        <v>40.72122352941187</v>
      </c>
    </row>
    <row r="6" spans="1:8" s="35" customFormat="1" ht="15">
      <c r="A6" s="9" t="s">
        <v>161</v>
      </c>
      <c r="B6" s="11">
        <v>32.89</v>
      </c>
      <c r="C6" s="11">
        <v>0.24</v>
      </c>
      <c r="D6" s="9">
        <f>C6/$C$8*$D$8</f>
        <v>1.0588235294117645</v>
      </c>
      <c r="E6" s="9">
        <f>(B6+D6)*$D$1</f>
        <v>1116.237317647059</v>
      </c>
      <c r="F6" s="39">
        <f>203+129</f>
        <v>332</v>
      </c>
      <c r="G6" s="39">
        <f>-E6+F6</f>
        <v>-784.237317647059</v>
      </c>
      <c r="H6" s="67" t="s">
        <v>358</v>
      </c>
    </row>
    <row r="7" spans="1:7" s="35" customFormat="1" ht="15">
      <c r="A7" s="9" t="s">
        <v>260</v>
      </c>
      <c r="B7" s="40">
        <v>4.78</v>
      </c>
      <c r="C7" s="40">
        <v>0.24</v>
      </c>
      <c r="D7" s="9">
        <f>C7/$C$8*$D$8</f>
        <v>1.0588235294117645</v>
      </c>
      <c r="E7" s="51"/>
      <c r="F7" s="52"/>
      <c r="G7" s="52"/>
    </row>
    <row r="8" spans="1:7" s="43" customFormat="1" ht="15">
      <c r="A8" s="41"/>
      <c r="B8" s="41"/>
      <c r="C8" s="41">
        <f>SUM(C4:C7)</f>
        <v>2.7200000000000006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41532</v>
      </c>
      <c r="C1" s="31" t="s">
        <v>252</v>
      </c>
      <c r="D1" s="48">
        <v>32.88</v>
      </c>
      <c r="E1" s="28" t="s">
        <v>253</v>
      </c>
    </row>
    <row r="2" s="28" customFormat="1" ht="15">
      <c r="A2" s="46" t="s">
        <v>357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161</v>
      </c>
      <c r="B4" s="11">
        <v>52.43</v>
      </c>
      <c r="C4" s="11">
        <v>1.06</v>
      </c>
      <c r="D4" s="9">
        <f>C4/$C$9*$D$9</f>
        <v>4.764044943820225</v>
      </c>
      <c r="E4" s="9">
        <f>(B4+D4)*$D$1</f>
        <v>1880.540197752809</v>
      </c>
      <c r="F4" s="39">
        <v>2712</v>
      </c>
      <c r="G4" s="39">
        <f>-E4+F4</f>
        <v>831.459802247191</v>
      </c>
    </row>
    <row r="5" spans="1:7" s="35" customFormat="1" ht="15">
      <c r="A5" s="9" t="s">
        <v>359</v>
      </c>
      <c r="B5" s="11">
        <v>7.11</v>
      </c>
      <c r="C5" s="11">
        <v>0.22</v>
      </c>
      <c r="D5" s="9">
        <f>C5/$C$9*$D$9</f>
        <v>0.9887640449438203</v>
      </c>
      <c r="E5" s="9">
        <f>(B5+D5)*$D$1</f>
        <v>266.28736179775285</v>
      </c>
      <c r="F5" s="39">
        <v>270</v>
      </c>
      <c r="G5" s="39">
        <f>-E5+F5</f>
        <v>3.712638202247149</v>
      </c>
    </row>
    <row r="6" spans="1:7" s="35" customFormat="1" ht="15">
      <c r="A6" s="9" t="s">
        <v>188</v>
      </c>
      <c r="B6" s="11">
        <v>10.63</v>
      </c>
      <c r="C6" s="11">
        <v>0.42</v>
      </c>
      <c r="D6" s="9">
        <f>C6/$C$9*$D$9</f>
        <v>1.8876404494382022</v>
      </c>
      <c r="E6" s="9">
        <f>(B6+D6)*$D$1</f>
        <v>411.58001797752814</v>
      </c>
      <c r="F6" s="39">
        <v>400</v>
      </c>
      <c r="G6" s="39">
        <f>-E6+F6</f>
        <v>-11.580017977528144</v>
      </c>
    </row>
    <row r="7" spans="1:7" s="35" customFormat="1" ht="15">
      <c r="A7" s="9" t="s">
        <v>360</v>
      </c>
      <c r="B7" s="11">
        <v>11.59</v>
      </c>
      <c r="C7" s="11">
        <v>0.38</v>
      </c>
      <c r="D7" s="9">
        <f>C7/$C$9*$D$9</f>
        <v>1.707865168539326</v>
      </c>
      <c r="E7" s="9">
        <f>(B7+D7)*$D$1</f>
        <v>437.23380674157306</v>
      </c>
      <c r="F7" s="39">
        <v>445</v>
      </c>
      <c r="G7" s="39">
        <f>-E7+F7</f>
        <v>7.766193258426938</v>
      </c>
    </row>
    <row r="8" spans="1:7" s="35" customFormat="1" ht="15">
      <c r="A8" s="9" t="s">
        <v>260</v>
      </c>
      <c r="B8" s="40">
        <v>16.74</v>
      </c>
      <c r="C8" s="40">
        <v>0.59</v>
      </c>
      <c r="D8" s="9">
        <f>C8/$C$9*$D$9</f>
        <v>2.651685393258427</v>
      </c>
      <c r="E8" s="51"/>
      <c r="F8" s="52"/>
      <c r="G8" s="52"/>
    </row>
    <row r="9" spans="1:7" s="43" customFormat="1" ht="15">
      <c r="A9" s="41"/>
      <c r="B9" s="41"/>
      <c r="C9" s="41">
        <f>SUM(C4:C8)</f>
        <v>2.67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41540</v>
      </c>
      <c r="C1" s="31" t="s">
        <v>252</v>
      </c>
      <c r="D1" s="48">
        <v>32.48</v>
      </c>
      <c r="E1" s="28" t="s">
        <v>253</v>
      </c>
    </row>
    <row r="2" s="28" customFormat="1" ht="15">
      <c r="A2" s="46" t="s">
        <v>361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131</v>
      </c>
      <c r="B4" s="11">
        <v>24.55</v>
      </c>
      <c r="C4" s="11">
        <v>0.94</v>
      </c>
      <c r="D4" s="9">
        <f>C4/$C$8*$D$8</f>
        <v>4.162361623616236</v>
      </c>
      <c r="E4" s="9">
        <f>(B4+D4)*$D$1</f>
        <v>932.5775055350553</v>
      </c>
      <c r="F4" s="39">
        <v>929</v>
      </c>
      <c r="G4" s="39">
        <f>-E4+F4</f>
        <v>-3.577505535055252</v>
      </c>
    </row>
    <row r="5" spans="1:7" s="35" customFormat="1" ht="15">
      <c r="A5" s="9" t="s">
        <v>207</v>
      </c>
      <c r="B5" s="11">
        <v>24.58</v>
      </c>
      <c r="C5" s="11">
        <v>0.22</v>
      </c>
      <c r="D5" s="9">
        <f>C5/$C$8*$D$8</f>
        <v>0.9741697416974169</v>
      </c>
      <c r="E5" s="9">
        <f>(B5+D5)*$D$1</f>
        <v>829.999433210332</v>
      </c>
      <c r="F5" s="39">
        <v>804</v>
      </c>
      <c r="G5" s="39">
        <f>-E5+F5</f>
        <v>-25.999433210331972</v>
      </c>
    </row>
    <row r="6" spans="1:7" s="35" customFormat="1" ht="15">
      <c r="A6" s="9" t="s">
        <v>233</v>
      </c>
      <c r="B6" s="11">
        <v>15.88</v>
      </c>
      <c r="C6" s="11">
        <v>0.22</v>
      </c>
      <c r="D6" s="9">
        <f>C6/$C$8*$D$8</f>
        <v>0.9741697416974169</v>
      </c>
      <c r="E6" s="9">
        <f>(B6+D6)*$D$1</f>
        <v>547.4234332103321</v>
      </c>
      <c r="F6" s="39">
        <v>665</v>
      </c>
      <c r="G6" s="39">
        <f>-E6+F6</f>
        <v>117.57656678966794</v>
      </c>
    </row>
    <row r="7" spans="1:7" s="35" customFormat="1" ht="15">
      <c r="A7" s="9" t="s">
        <v>260</v>
      </c>
      <c r="B7" s="40">
        <v>23.59</v>
      </c>
      <c r="C7" s="40">
        <v>1.33</v>
      </c>
      <c r="D7" s="9">
        <f>C7/$C$8*$D$8</f>
        <v>5.88929889298893</v>
      </c>
      <c r="E7" s="51"/>
      <c r="F7" s="52"/>
      <c r="G7" s="52"/>
    </row>
    <row r="8" spans="1:7" s="43" customFormat="1" ht="15">
      <c r="A8" s="41"/>
      <c r="B8" s="41"/>
      <c r="C8" s="41">
        <v>2.71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41540</v>
      </c>
      <c r="C1" s="31" t="s">
        <v>252</v>
      </c>
      <c r="D1" s="48">
        <v>32.48</v>
      </c>
      <c r="E1" s="28" t="s">
        <v>253</v>
      </c>
    </row>
    <row r="2" s="28" customFormat="1" ht="15">
      <c r="A2" s="46" t="s">
        <v>361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65</v>
      </c>
      <c r="B4" s="11">
        <v>13.02</v>
      </c>
      <c r="C4" s="11">
        <v>0.6</v>
      </c>
      <c r="D4" s="9">
        <f>C4/$C$9*$D$9</f>
        <v>2.666666666666667</v>
      </c>
      <c r="E4" s="9">
        <f>(B4+D4)*$D$1</f>
        <v>509.5029333333333</v>
      </c>
      <c r="F4" s="39">
        <v>494</v>
      </c>
      <c r="G4" s="39">
        <f>-E4+F4</f>
        <v>-15.502933333333317</v>
      </c>
    </row>
    <row r="5" spans="1:7" s="35" customFormat="1" ht="15">
      <c r="A5" s="9" t="s">
        <v>199</v>
      </c>
      <c r="B5" s="11">
        <v>58.43</v>
      </c>
      <c r="C5" s="11">
        <v>0.43</v>
      </c>
      <c r="D5" s="9">
        <f>C5/$C$9*$D$9</f>
        <v>1.9111111111111112</v>
      </c>
      <c r="E5" s="9">
        <f>(B5+D5)*$D$1</f>
        <v>1959.8792888888886</v>
      </c>
      <c r="F5" s="39">
        <f>1953+7</f>
        <v>1960</v>
      </c>
      <c r="G5" s="39">
        <f>-E5+F5</f>
        <v>0.12071111111140453</v>
      </c>
    </row>
    <row r="6" spans="1:7" s="35" customFormat="1" ht="15">
      <c r="A6" s="9" t="s">
        <v>233</v>
      </c>
      <c r="B6" s="11">
        <v>3.81</v>
      </c>
      <c r="C6" s="11">
        <v>0.15</v>
      </c>
      <c r="D6" s="9">
        <f>C6/$C$9*$D$9</f>
        <v>0.6666666666666667</v>
      </c>
      <c r="E6" s="9">
        <f>(B6+D6)*$D$1</f>
        <v>145.40213333333332</v>
      </c>
      <c r="F6" s="39"/>
      <c r="G6" s="39">
        <f>-E6+F6</f>
        <v>-145.40213333333332</v>
      </c>
    </row>
    <row r="7" spans="1:7" s="35" customFormat="1" ht="15">
      <c r="A7" s="9" t="s">
        <v>220</v>
      </c>
      <c r="B7" s="11">
        <v>16.21</v>
      </c>
      <c r="C7" s="11">
        <v>0.14</v>
      </c>
      <c r="D7" s="9">
        <f>C7/$C$9*$D$9</f>
        <v>0.6222222222222223</v>
      </c>
      <c r="E7" s="9">
        <f>(B7+D7)*$D$1</f>
        <v>546.7105777777778</v>
      </c>
      <c r="F7" s="39">
        <v>544</v>
      </c>
      <c r="G7" s="39">
        <f>-E7+F7</f>
        <v>-2.7105777777777575</v>
      </c>
    </row>
    <row r="8" spans="1:7" s="35" customFormat="1" ht="15">
      <c r="A8" s="9" t="s">
        <v>260</v>
      </c>
      <c r="B8" s="40">
        <v>6.21</v>
      </c>
      <c r="C8" s="40">
        <v>0.48</v>
      </c>
      <c r="D8" s="9">
        <f>C8/$C$9*$D$9</f>
        <v>2.1333333333333333</v>
      </c>
      <c r="E8" s="51"/>
      <c r="F8" s="52"/>
      <c r="G8" s="52"/>
    </row>
    <row r="9" spans="1:7" s="43" customFormat="1" ht="15">
      <c r="A9" s="41"/>
      <c r="B9" s="41"/>
      <c r="C9" s="41">
        <f>SUM(C4:C8)</f>
        <v>1.7999999999999998</v>
      </c>
      <c r="D9" s="41">
        <v>8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41546</v>
      </c>
      <c r="C1" s="31" t="s">
        <v>252</v>
      </c>
      <c r="D1" s="48">
        <v>32.25</v>
      </c>
      <c r="E1" s="28" t="s">
        <v>253</v>
      </c>
    </row>
    <row r="2" s="28" customFormat="1" ht="15">
      <c r="A2" s="46" t="s">
        <v>362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69</v>
      </c>
      <c r="B4" s="11">
        <v>47.88</v>
      </c>
      <c r="C4" s="11">
        <v>1.3</v>
      </c>
      <c r="D4" s="9">
        <f>C4/$C$9*$D$9</f>
        <v>5.756457564575646</v>
      </c>
      <c r="E4" s="9">
        <f>(B4+D4)*$D$1</f>
        <v>1729.7757564575647</v>
      </c>
      <c r="F4" s="39">
        <v>1770</v>
      </c>
      <c r="G4" s="39">
        <f>-E4+F4</f>
        <v>40.22424354243526</v>
      </c>
    </row>
    <row r="5" spans="1:7" s="35" customFormat="1" ht="15">
      <c r="A5" s="9" t="s">
        <v>359</v>
      </c>
      <c r="B5" s="11">
        <v>8.89</v>
      </c>
      <c r="C5" s="11">
        <v>0.04</v>
      </c>
      <c r="D5" s="9">
        <f>C5/$C$9*$D$9</f>
        <v>0.1771217712177122</v>
      </c>
      <c r="E5" s="9">
        <f>(B5+D5)*$D$1</f>
        <v>292.4146771217712</v>
      </c>
      <c r="F5" s="39"/>
      <c r="G5" s="39">
        <f>-E5+F5</f>
        <v>-292.4146771217712</v>
      </c>
    </row>
    <row r="6" spans="1:7" s="35" customFormat="1" ht="15">
      <c r="A6" s="9" t="s">
        <v>230</v>
      </c>
      <c r="B6" s="11">
        <v>11.87</v>
      </c>
      <c r="C6" s="11">
        <v>0.11</v>
      </c>
      <c r="D6" s="9">
        <f>C6/$C$9*$D$9</f>
        <v>0.48708487084870844</v>
      </c>
      <c r="E6" s="9">
        <f>(B6+D6)*$D$1</f>
        <v>398.5159870848708</v>
      </c>
      <c r="F6" s="39">
        <v>398</v>
      </c>
      <c r="G6" s="39">
        <f>-E6+F6</f>
        <v>-0.515987084870801</v>
      </c>
    </row>
    <row r="7" spans="1:7" s="35" customFormat="1" ht="15">
      <c r="A7" s="9" t="s">
        <v>102</v>
      </c>
      <c r="B7" s="11">
        <v>25.49</v>
      </c>
      <c r="C7" s="11">
        <v>1.18</v>
      </c>
      <c r="D7" s="9">
        <f>C7/$C$9*$D$9</f>
        <v>5.2250922509225095</v>
      </c>
      <c r="E7" s="9">
        <f>(B7+D7)*$D$1</f>
        <v>990.561725092251</v>
      </c>
      <c r="F7" s="39">
        <v>991</v>
      </c>
      <c r="G7" s="39">
        <f>-E7+F7</f>
        <v>0.4382749077490189</v>
      </c>
    </row>
    <row r="8" spans="1:7" s="35" customFormat="1" ht="15">
      <c r="A8" s="9" t="s">
        <v>260</v>
      </c>
      <c r="B8" s="40">
        <v>1.9</v>
      </c>
      <c r="C8" s="40">
        <v>0.08</v>
      </c>
      <c r="D8" s="9">
        <f>C8/$C$9*$D$9</f>
        <v>0.3542435424354244</v>
      </c>
      <c r="E8" s="51"/>
      <c r="F8" s="52"/>
      <c r="G8" s="52"/>
    </row>
    <row r="9" spans="1:7" s="43" customFormat="1" ht="15">
      <c r="A9" s="41"/>
      <c r="B9" s="41"/>
      <c r="C9" s="41">
        <f>SUM(C4:C8)</f>
        <v>2.71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41548</v>
      </c>
      <c r="C1" s="31" t="s">
        <v>252</v>
      </c>
      <c r="D1" s="48">
        <v>32.85</v>
      </c>
      <c r="E1" s="28" t="s">
        <v>253</v>
      </c>
    </row>
    <row r="2" s="28" customFormat="1" ht="15">
      <c r="A2" s="46" t="s">
        <v>363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359</v>
      </c>
      <c r="B4" s="11">
        <v>10.32</v>
      </c>
      <c r="C4" s="11">
        <v>0.14</v>
      </c>
      <c r="D4" s="9">
        <f>C4/$C$8*$D$8</f>
        <v>0.6199261992619925</v>
      </c>
      <c r="E4" s="9">
        <f>(B4+D4)*$D$1</f>
        <v>359.3765756457565</v>
      </c>
      <c r="F4" s="39"/>
      <c r="G4" s="39">
        <f>-E4+F4</f>
        <v>-359.3765756457565</v>
      </c>
    </row>
    <row r="5" spans="1:7" s="35" customFormat="1" ht="15">
      <c r="A5" s="9" t="s">
        <v>65</v>
      </c>
      <c r="B5" s="11">
        <v>40.8</v>
      </c>
      <c r="C5" s="11">
        <v>2.14</v>
      </c>
      <c r="D5" s="9">
        <f>C5/$C$8*$D$8</f>
        <v>9.476014760147601</v>
      </c>
      <c r="E5" s="9">
        <f>(B5+D5)*$D$1</f>
        <v>1651.5670848708487</v>
      </c>
      <c r="F5" s="39">
        <v>1658</v>
      </c>
      <c r="G5" s="39">
        <f>-E5+F5</f>
        <v>6.432915129151297</v>
      </c>
    </row>
    <row r="6" spans="1:7" s="35" customFormat="1" ht="15">
      <c r="A6" s="9" t="s">
        <v>161</v>
      </c>
      <c r="B6" s="11">
        <v>4.45</v>
      </c>
      <c r="C6" s="11">
        <v>0.14</v>
      </c>
      <c r="D6" s="9">
        <f>C6/$C$8*$D$8</f>
        <v>0.6199261992619925</v>
      </c>
      <c r="E6" s="9">
        <f>(B6+D6)*$D$1</f>
        <v>166.54707564575645</v>
      </c>
      <c r="F6" s="39">
        <v>120</v>
      </c>
      <c r="G6" s="39">
        <f>-E6+F6</f>
        <v>-46.54707564575645</v>
      </c>
    </row>
    <row r="7" spans="1:7" s="35" customFormat="1" ht="15">
      <c r="A7" s="9" t="s">
        <v>260</v>
      </c>
      <c r="B7" s="40">
        <v>27.33</v>
      </c>
      <c r="C7" s="40">
        <v>0.29</v>
      </c>
      <c r="D7" s="9">
        <f>C7/$C$8*$D$8</f>
        <v>1.284132841328413</v>
      </c>
      <c r="E7" s="51"/>
      <c r="F7" s="52"/>
      <c r="G7" s="52"/>
    </row>
    <row r="8" spans="1:7" s="43" customFormat="1" ht="15">
      <c r="A8" s="41"/>
      <c r="B8" s="41"/>
      <c r="C8" s="41">
        <f>SUM(C4:C7)</f>
        <v>2.7100000000000004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41191</v>
      </c>
      <c r="C1" s="31" t="s">
        <v>252</v>
      </c>
      <c r="D1" s="32">
        <v>31.17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59</v>
      </c>
      <c r="B4" s="9">
        <v>12.08</v>
      </c>
      <c r="C4" s="9">
        <v>0.7</v>
      </c>
      <c r="D4" s="9">
        <f>C4/$C$9*$D$9</f>
        <v>1.8081180811808117</v>
      </c>
      <c r="E4" s="9">
        <f>(B4+D4)*$D$1</f>
        <v>432.8926405904059</v>
      </c>
      <c r="F4" s="39">
        <v>221</v>
      </c>
      <c r="G4" s="39">
        <f>-E4+F4</f>
        <v>-211.8926405904059</v>
      </c>
    </row>
    <row r="5" spans="1:7" s="35" customFormat="1" ht="15">
      <c r="A5" s="9" t="s">
        <v>247</v>
      </c>
      <c r="B5" s="9">
        <v>4.55</v>
      </c>
      <c r="C5" s="9">
        <v>0.11</v>
      </c>
      <c r="D5" s="9">
        <f>C5/$C$9*$D$9</f>
        <v>0.28413284132841327</v>
      </c>
      <c r="E5" s="9">
        <f>(B5+D5)*$D$1</f>
        <v>150.67992066420666</v>
      </c>
      <c r="F5" s="39">
        <v>146</v>
      </c>
      <c r="G5" s="39">
        <f>-E5+F5</f>
        <v>-4.679920664206662</v>
      </c>
    </row>
    <row r="6" spans="1:8" s="35" customFormat="1" ht="30">
      <c r="A6" s="13" t="s">
        <v>129</v>
      </c>
      <c r="B6" s="9">
        <v>11.19</v>
      </c>
      <c r="C6" s="40">
        <v>0.46</v>
      </c>
      <c r="D6" s="9">
        <f>C6/$C$9*$D$9</f>
        <v>1.1881918819188193</v>
      </c>
      <c r="E6" s="9">
        <f>(B6+D6)*$D$1</f>
        <v>385.8282409594096</v>
      </c>
      <c r="F6" s="39">
        <f>389+4-7</f>
        <v>386</v>
      </c>
      <c r="G6" s="39">
        <f>-E6+F6</f>
        <v>0.17175904059041613</v>
      </c>
      <c r="H6" s="42" t="s">
        <v>270</v>
      </c>
    </row>
    <row r="7" spans="1:7" s="35" customFormat="1" ht="15">
      <c r="A7" s="13" t="s">
        <v>271</v>
      </c>
      <c r="B7" s="9">
        <v>14.32</v>
      </c>
      <c r="C7" s="9">
        <v>0.75</v>
      </c>
      <c r="D7" s="9">
        <f>C7/$C$9*$D$9</f>
        <v>1.9372693726937271</v>
      </c>
      <c r="E7" s="9">
        <f>(B7+D7)*$D$1</f>
        <v>506.73908634686353</v>
      </c>
      <c r="F7" s="39">
        <v>511</v>
      </c>
      <c r="G7" s="39">
        <f>-E7+F7</f>
        <v>4.26091365313647</v>
      </c>
    </row>
    <row r="8" spans="1:7" ht="15">
      <c r="A8" s="13" t="s">
        <v>260</v>
      </c>
      <c r="B8" s="9">
        <v>30.77</v>
      </c>
      <c r="C8" s="9">
        <v>0.69</v>
      </c>
      <c r="D8" s="9">
        <f>C8/$C$9*$D$9</f>
        <v>1.7822878228782288</v>
      </c>
      <c r="E8" s="9">
        <f>(B8+D8)*$D$1</f>
        <v>1014.6548114391144</v>
      </c>
      <c r="F8" s="39"/>
      <c r="G8" s="39"/>
    </row>
    <row r="9" spans="1:7" s="43" customFormat="1" ht="15">
      <c r="A9" s="41"/>
      <c r="B9" s="41"/>
      <c r="C9" s="41">
        <f>SUM(C4:C8)</f>
        <v>2.71</v>
      </c>
      <c r="D9" s="41">
        <v>7</v>
      </c>
      <c r="E9" s="41"/>
      <c r="F9" s="41"/>
      <c r="G9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41548</v>
      </c>
      <c r="C1" s="31" t="s">
        <v>252</v>
      </c>
      <c r="D1" s="48">
        <v>32.85</v>
      </c>
      <c r="E1" s="28" t="s">
        <v>253</v>
      </c>
    </row>
    <row r="2" s="28" customFormat="1" ht="15">
      <c r="A2" s="46" t="s">
        <v>363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359</v>
      </c>
      <c r="B4" s="11">
        <v>2.88</v>
      </c>
      <c r="C4" s="11">
        <v>0.19</v>
      </c>
      <c r="D4" s="9">
        <f>C4/$C$8*$D$8</f>
        <v>0.841328413284133</v>
      </c>
      <c r="E4" s="9">
        <f>(B4+D4)*$D$1</f>
        <v>122.24563837638377</v>
      </c>
      <c r="F4" s="39"/>
      <c r="G4" s="39">
        <f>-E4+F4</f>
        <v>-122.24563837638377</v>
      </c>
    </row>
    <row r="5" spans="1:7" s="35" customFormat="1" ht="15">
      <c r="A5" s="9" t="s">
        <v>80</v>
      </c>
      <c r="B5" s="11">
        <v>31.08</v>
      </c>
      <c r="C5" s="11">
        <v>1.16</v>
      </c>
      <c r="D5" s="9">
        <f>C5/$C$8*$D$8</f>
        <v>5.136531365313653</v>
      </c>
      <c r="E5" s="9">
        <f>(B5+D5)*$D$1</f>
        <v>1189.7130553505535</v>
      </c>
      <c r="F5" s="39">
        <v>1200</v>
      </c>
      <c r="G5" s="39">
        <f>-E5+F5</f>
        <v>10.286944649446468</v>
      </c>
    </row>
    <row r="6" spans="1:7" s="35" customFormat="1" ht="15">
      <c r="A6" s="9" t="s">
        <v>121</v>
      </c>
      <c r="B6" s="11">
        <v>9.91</v>
      </c>
      <c r="C6" s="11">
        <v>0.57</v>
      </c>
      <c r="D6" s="9">
        <f>C6/$C$8*$D$8</f>
        <v>2.523985239852398</v>
      </c>
      <c r="E6" s="9">
        <f>(B6+D6)*$D$1</f>
        <v>408.45641512915125</v>
      </c>
      <c r="F6" s="39">
        <v>410</v>
      </c>
      <c r="G6" s="39">
        <f>-E6+F6</f>
        <v>1.543584870848747</v>
      </c>
    </row>
    <row r="7" spans="1:7" s="35" customFormat="1" ht="15">
      <c r="A7" s="9" t="s">
        <v>260</v>
      </c>
      <c r="B7" s="40">
        <v>40.16</v>
      </c>
      <c r="C7" s="40">
        <v>0.79</v>
      </c>
      <c r="D7" s="9">
        <f>C7/$C$8*$D$8</f>
        <v>3.498154981549815</v>
      </c>
      <c r="E7" s="51"/>
      <c r="F7" s="52"/>
      <c r="G7" s="52"/>
    </row>
    <row r="8" spans="1:7" s="43" customFormat="1" ht="15">
      <c r="A8" s="41"/>
      <c r="B8" s="41"/>
      <c r="C8" s="41">
        <f>SUM(C4:C7)</f>
        <v>2.71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P26" sqref="P2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41550</v>
      </c>
      <c r="C1" s="31" t="s">
        <v>252</v>
      </c>
      <c r="D1" s="48">
        <v>32.65</v>
      </c>
      <c r="E1" s="28" t="s">
        <v>253</v>
      </c>
    </row>
    <row r="2" s="28" customFormat="1" ht="15">
      <c r="A2" s="46" t="s">
        <v>364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22</v>
      </c>
      <c r="B4" s="11">
        <v>14.08</v>
      </c>
      <c r="C4" s="11">
        <v>0.35</v>
      </c>
      <c r="D4" s="9">
        <f>C4/$C$6*$D$6</f>
        <v>1.5498154981549814</v>
      </c>
      <c r="E4" s="9">
        <f>(B4+D4)*$D$1</f>
        <v>510.3134760147601</v>
      </c>
      <c r="F4" s="39">
        <v>515</v>
      </c>
      <c r="G4" s="39">
        <f>-E4+F4</f>
        <v>4.686523985239887</v>
      </c>
    </row>
    <row r="5" spans="1:7" s="35" customFormat="1" ht="15">
      <c r="A5" s="9" t="s">
        <v>47</v>
      </c>
      <c r="B5" s="11">
        <v>83.2</v>
      </c>
      <c r="C5" s="11">
        <v>2.36</v>
      </c>
      <c r="D5" s="9">
        <f>C5/$C$6*$D$6</f>
        <v>10.450184501845019</v>
      </c>
      <c r="E5" s="9">
        <f>(B5+D5)*$D$1</f>
        <v>3057.6785239852397</v>
      </c>
      <c r="F5" s="39">
        <f>3000+80</f>
        <v>3080</v>
      </c>
      <c r="G5" s="39">
        <f>-E5+F5</f>
        <v>22.321476014760265</v>
      </c>
    </row>
    <row r="6" spans="1:7" s="43" customFormat="1" ht="15">
      <c r="A6" s="41"/>
      <c r="B6" s="41"/>
      <c r="C6" s="41">
        <f>SUM(C4:C5)</f>
        <v>2.71</v>
      </c>
      <c r="D6" s="41">
        <v>12</v>
      </c>
      <c r="E6" s="41"/>
      <c r="F6" s="41"/>
      <c r="G6" s="41"/>
    </row>
    <row r="9" ht="31.5">
      <c r="A9" s="49"/>
    </row>
    <row r="10" ht="31.5">
      <c r="A10" s="49"/>
    </row>
    <row r="11" ht="15">
      <c r="A11" s="38"/>
    </row>
    <row r="12" ht="15">
      <c r="A12" s="38"/>
    </row>
    <row r="13" ht="15">
      <c r="A13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41550</v>
      </c>
      <c r="C1" s="31" t="s">
        <v>252</v>
      </c>
      <c r="D1" s="48">
        <v>32.65</v>
      </c>
      <c r="E1" s="28" t="s">
        <v>253</v>
      </c>
    </row>
    <row r="2" s="28" customFormat="1" ht="15">
      <c r="A2" s="46" t="s">
        <v>364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359</v>
      </c>
      <c r="B4" s="11">
        <v>21.19</v>
      </c>
      <c r="C4" s="11">
        <v>1.4</v>
      </c>
      <c r="D4" s="9">
        <f>C4/$C$8*$D$8</f>
        <v>6.3157894736842115</v>
      </c>
      <c r="E4" s="9">
        <f>(B4+D4)*$D$1</f>
        <v>898.0640263157895</v>
      </c>
      <c r="F4" s="39">
        <v>1685</v>
      </c>
      <c r="G4" s="39">
        <f>-E4+F4</f>
        <v>786.9359736842105</v>
      </c>
    </row>
    <row r="5" spans="1:7" s="35" customFormat="1" ht="15">
      <c r="A5" s="9" t="s">
        <v>133</v>
      </c>
      <c r="B5" s="11">
        <v>16.22</v>
      </c>
      <c r="C5" s="11">
        <v>0.44</v>
      </c>
      <c r="D5" s="9">
        <f>C5/$C$8*$D$8</f>
        <v>1.984962406015038</v>
      </c>
      <c r="E5" s="9">
        <f>(B5+D5)*$D$1</f>
        <v>594.3920225563909</v>
      </c>
      <c r="F5" s="39">
        <v>594</v>
      </c>
      <c r="G5" s="39">
        <f>-E5+F5</f>
        <v>-0.39202255639088435</v>
      </c>
    </row>
    <row r="6" spans="1:7" s="35" customFormat="1" ht="15">
      <c r="A6" s="9" t="s">
        <v>340</v>
      </c>
      <c r="B6" s="64">
        <v>14.39</v>
      </c>
      <c r="C6" s="64">
        <v>0.57</v>
      </c>
      <c r="D6" s="9">
        <f>C6/$C$8*$D$8</f>
        <v>2.5714285714285716</v>
      </c>
      <c r="E6" s="9">
        <f>(B6+D6)*$D$1</f>
        <v>553.7906428571429</v>
      </c>
      <c r="F6" s="39">
        <v>560</v>
      </c>
      <c r="G6" s="39">
        <f>-E6+F6</f>
        <v>6.2093571428571295</v>
      </c>
    </row>
    <row r="7" spans="1:7" s="35" customFormat="1" ht="15">
      <c r="A7" s="9" t="s">
        <v>260</v>
      </c>
      <c r="B7" s="40">
        <v>17.99</v>
      </c>
      <c r="C7" s="40">
        <v>0.25</v>
      </c>
      <c r="D7" s="9">
        <f>C7/$C$8*$D$8</f>
        <v>1.1278195488721805</v>
      </c>
      <c r="E7" s="51"/>
      <c r="F7" s="52"/>
      <c r="G7" s="52"/>
    </row>
    <row r="8" spans="1:7" s="43" customFormat="1" ht="15">
      <c r="A8" s="41"/>
      <c r="B8" s="41"/>
      <c r="C8" s="41">
        <f>SUM(C4:C7)</f>
        <v>2.6599999999999997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="65" zoomScaleNormal="65" zoomScalePageLayoutView="0" workbookViewId="0" topLeftCell="A1">
      <selection activeCell="A11" sqref="A11:A12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41555</v>
      </c>
      <c r="C1" s="31" t="s">
        <v>252</v>
      </c>
      <c r="D1" s="48">
        <v>32.82</v>
      </c>
      <c r="E1" s="28" t="s">
        <v>253</v>
      </c>
    </row>
    <row r="2" s="28" customFormat="1" ht="15">
      <c r="A2" s="46" t="s">
        <v>365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268</v>
      </c>
      <c r="B4" s="11">
        <v>11.72</v>
      </c>
      <c r="C4" s="11">
        <v>0.121</v>
      </c>
      <c r="D4" s="9">
        <f>C4/$C$8*$D$8</f>
        <v>0.5625726462611391</v>
      </c>
      <c r="E4" s="9">
        <f>(B4+D4)*$D$1</f>
        <v>403.1140342502906</v>
      </c>
      <c r="F4" s="39">
        <v>398</v>
      </c>
      <c r="G4" s="39">
        <f>-E4+F4</f>
        <v>-5.114034250290615</v>
      </c>
    </row>
    <row r="5" spans="1:7" s="35" customFormat="1" ht="15">
      <c r="A5" s="9" t="s">
        <v>25</v>
      </c>
      <c r="B5" s="11">
        <v>36.91</v>
      </c>
      <c r="C5" s="11">
        <v>0.88</v>
      </c>
      <c r="D5" s="9">
        <f>C5/$C$8*$D$8</f>
        <v>4.091437427353739</v>
      </c>
      <c r="E5" s="9">
        <f>(B5+D5)*$D$1</f>
        <v>1345.6671763657496</v>
      </c>
      <c r="F5" s="39">
        <v>1357</v>
      </c>
      <c r="G5" s="39">
        <f>-E5+F5</f>
        <v>11.332823634250417</v>
      </c>
    </row>
    <row r="6" spans="1:7" s="35" customFormat="1" ht="15">
      <c r="A6" s="9" t="s">
        <v>80</v>
      </c>
      <c r="B6" s="64">
        <v>12.14</v>
      </c>
      <c r="C6" s="64">
        <v>0.1</v>
      </c>
      <c r="D6" s="9">
        <f>C6/$C$8*$D$8</f>
        <v>0.46493607129019765</v>
      </c>
      <c r="E6" s="9">
        <f>(B6+D6)*$D$1</f>
        <v>413.69400185974433</v>
      </c>
      <c r="F6" s="39">
        <v>412</v>
      </c>
      <c r="G6" s="39">
        <f>-E6+F6</f>
        <v>-1.6940018597443327</v>
      </c>
    </row>
    <row r="7" spans="1:7" s="35" customFormat="1" ht="15">
      <c r="A7" s="9" t="s">
        <v>260</v>
      </c>
      <c r="B7" s="40">
        <v>28.82</v>
      </c>
      <c r="C7" s="40">
        <v>1.48</v>
      </c>
      <c r="D7" s="9">
        <f>C7/$C$8*$D$8</f>
        <v>6.881053855094924</v>
      </c>
      <c r="E7" s="51"/>
      <c r="F7" s="52"/>
      <c r="G7" s="52"/>
    </row>
    <row r="8" spans="1:7" s="43" customFormat="1" ht="15">
      <c r="A8" s="41"/>
      <c r="B8" s="41"/>
      <c r="C8" s="41">
        <f>SUM(C4:C7)</f>
        <v>2.581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41559</v>
      </c>
      <c r="C1" s="31" t="s">
        <v>252</v>
      </c>
      <c r="D1" s="48">
        <v>32.76</v>
      </c>
      <c r="E1" s="28" t="s">
        <v>253</v>
      </c>
    </row>
    <row r="2" s="28" customFormat="1" ht="15">
      <c r="A2" s="46" t="s">
        <v>366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18</v>
      </c>
      <c r="B4" s="40">
        <v>22.36</v>
      </c>
      <c r="C4" s="40">
        <v>0.27</v>
      </c>
      <c r="D4" s="9">
        <f>C4/$C$7*$D$7</f>
        <v>1.1911764705882355</v>
      </c>
      <c r="E4" s="9">
        <f>(B4+D4)*$D$1</f>
        <v>771.5365411764706</v>
      </c>
      <c r="F4" s="39">
        <v>774</v>
      </c>
      <c r="G4" s="39">
        <f>-E4+F4</f>
        <v>2.463458823529436</v>
      </c>
    </row>
    <row r="5" spans="1:7" s="35" customFormat="1" ht="15">
      <c r="A5" s="9" t="s">
        <v>174</v>
      </c>
      <c r="B5" s="11">
        <v>9.69</v>
      </c>
      <c r="C5" s="11">
        <v>0.19</v>
      </c>
      <c r="D5" s="9">
        <f>C5/$C$7*$D$7</f>
        <v>0.8382352941176471</v>
      </c>
      <c r="E5" s="9">
        <f>(B5+D5)*$D$1</f>
        <v>344.90498823529407</v>
      </c>
      <c r="F5" s="39">
        <v>346</v>
      </c>
      <c r="G5" s="39">
        <f>-E5+F5</f>
        <v>1.09501176470593</v>
      </c>
    </row>
    <row r="6" spans="1:7" s="35" customFormat="1" ht="15">
      <c r="A6" s="9" t="s">
        <v>260</v>
      </c>
      <c r="B6" s="40">
        <v>45.21</v>
      </c>
      <c r="C6" s="40">
        <v>2.26</v>
      </c>
      <c r="D6" s="9">
        <f>C6/$C$7*$D$7</f>
        <v>9.970588235294118</v>
      </c>
      <c r="E6" s="51"/>
      <c r="F6" s="52"/>
      <c r="G6" s="52"/>
    </row>
    <row r="7" spans="1:7" s="43" customFormat="1" ht="15">
      <c r="A7" s="41"/>
      <c r="B7" s="41"/>
      <c r="C7" s="41">
        <f>SUM(C4:C6)</f>
        <v>2.7199999999999998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41564</v>
      </c>
      <c r="C1" s="31" t="s">
        <v>252</v>
      </c>
      <c r="D1" s="48">
        <v>32.4</v>
      </c>
      <c r="E1" s="28" t="s">
        <v>253</v>
      </c>
    </row>
    <row r="2" s="28" customFormat="1" ht="15">
      <c r="A2" s="46" t="s">
        <v>367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176</v>
      </c>
      <c r="B4" s="40">
        <v>46.09</v>
      </c>
      <c r="C4" s="40">
        <v>2.64</v>
      </c>
      <c r="D4" s="9">
        <f>C4/$C$6*$D$6</f>
        <v>11.647058823529411</v>
      </c>
      <c r="E4" s="9">
        <f>(B4+D4)*$D$1</f>
        <v>1870.680705882353</v>
      </c>
      <c r="F4" s="39">
        <v>1905</v>
      </c>
      <c r="G4" s="39">
        <f>-E4+F4</f>
        <v>34.319294117646905</v>
      </c>
    </row>
    <row r="5" spans="1:7" s="35" customFormat="1" ht="15">
      <c r="A5" s="9" t="s">
        <v>260</v>
      </c>
      <c r="B5" s="40">
        <v>17.46</v>
      </c>
      <c r="C5" s="40">
        <v>0.08</v>
      </c>
      <c r="D5" s="9">
        <f>C5/$C$6*$D$6</f>
        <v>0.3529411764705882</v>
      </c>
      <c r="E5" s="51"/>
      <c r="F5" s="52"/>
      <c r="G5" s="52"/>
    </row>
    <row r="6" spans="1:7" s="43" customFormat="1" ht="15">
      <c r="A6" s="41"/>
      <c r="B6" s="41"/>
      <c r="C6" s="41">
        <f>SUM(C4:C5)</f>
        <v>2.72</v>
      </c>
      <c r="D6" s="41">
        <v>12</v>
      </c>
      <c r="E6" s="41"/>
      <c r="F6" s="41"/>
      <c r="G6" s="41"/>
    </row>
    <row r="9" ht="31.5">
      <c r="A9" s="49"/>
    </row>
    <row r="10" ht="31.5">
      <c r="A10" s="49"/>
    </row>
    <row r="11" ht="15">
      <c r="A11" s="38"/>
    </row>
    <row r="12" ht="15">
      <c r="A12" s="38"/>
    </row>
    <row r="13" ht="15">
      <c r="A13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41567</v>
      </c>
      <c r="C1" s="31" t="s">
        <v>252</v>
      </c>
      <c r="D1" s="48">
        <v>32.48</v>
      </c>
      <c r="E1" s="28" t="s">
        <v>253</v>
      </c>
    </row>
    <row r="2" s="28" customFormat="1" ht="15">
      <c r="A2" s="46" t="s">
        <v>368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136</v>
      </c>
      <c r="B4" s="40">
        <v>31.36</v>
      </c>
      <c r="C4" s="40">
        <v>0.4</v>
      </c>
      <c r="D4" s="9">
        <f>C4/$C$7*$D$7</f>
        <v>1.797752808988764</v>
      </c>
      <c r="E4" s="9">
        <f>(B4+D4)*$D$1</f>
        <v>1076.9638112359548</v>
      </c>
      <c r="F4" s="39">
        <v>1080</v>
      </c>
      <c r="G4" s="39">
        <f>-E4+F4</f>
        <v>3.036188764045164</v>
      </c>
    </row>
    <row r="5" spans="1:7" s="35" customFormat="1" ht="15">
      <c r="A5" s="9" t="s">
        <v>123</v>
      </c>
      <c r="B5" s="11">
        <v>32.8</v>
      </c>
      <c r="C5" s="11">
        <v>2.19</v>
      </c>
      <c r="D5" s="9">
        <f>C5/$C$7*$D$7</f>
        <v>9.842696629213483</v>
      </c>
      <c r="E5" s="9">
        <f>(B5+D5)*$D$1</f>
        <v>1385.0347865168537</v>
      </c>
      <c r="F5" s="39"/>
      <c r="G5" s="39">
        <f>-E5+F5</f>
        <v>-1385.0347865168537</v>
      </c>
    </row>
    <row r="6" spans="1:7" s="35" customFormat="1" ht="15">
      <c r="A6" s="9" t="s">
        <v>260</v>
      </c>
      <c r="B6" s="40">
        <v>2.95</v>
      </c>
      <c r="C6" s="40">
        <v>0.08</v>
      </c>
      <c r="D6" s="9">
        <f>C6/$C$7*$D$7</f>
        <v>0.3595505617977528</v>
      </c>
      <c r="E6" s="51"/>
      <c r="F6" s="52"/>
      <c r="G6" s="52"/>
    </row>
    <row r="7" spans="1:7" s="43" customFormat="1" ht="15">
      <c r="A7" s="41"/>
      <c r="B7" s="41"/>
      <c r="C7" s="41">
        <f>SUM(C4:C6)</f>
        <v>2.67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41567</v>
      </c>
      <c r="C1" s="31" t="s">
        <v>252</v>
      </c>
      <c r="D1" s="48">
        <f>31.9013*1.02</f>
        <v>32.539326</v>
      </c>
      <c r="E1" s="28" t="s">
        <v>253</v>
      </c>
    </row>
    <row r="2" s="28" customFormat="1" ht="15">
      <c r="A2" s="46" t="s">
        <v>368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233</v>
      </c>
      <c r="B4" s="40">
        <v>8.98</v>
      </c>
      <c r="C4" s="40">
        <v>0.16</v>
      </c>
      <c r="D4" s="9">
        <f>C4/$C$8*$D$8</f>
        <v>0.7084870848708488</v>
      </c>
      <c r="E4" s="9">
        <f>(B4+D4)*$D$1</f>
        <v>315.2568397014022</v>
      </c>
      <c r="F4" s="39">
        <v>318</v>
      </c>
      <c r="G4" s="39">
        <f>-E4+F4</f>
        <v>2.743160298597786</v>
      </c>
    </row>
    <row r="5" spans="1:7" s="35" customFormat="1" ht="15">
      <c r="A5" s="9" t="s">
        <v>154</v>
      </c>
      <c r="B5" s="40">
        <v>6.16</v>
      </c>
      <c r="C5" s="40">
        <v>0.35</v>
      </c>
      <c r="D5" s="9">
        <f>C5/$C$8*$D$8</f>
        <v>1.5498154981549814</v>
      </c>
      <c r="E5" s="9">
        <f>(B5+D5)*$D$1</f>
        <v>250.87219989431736</v>
      </c>
      <c r="F5" s="39">
        <v>236</v>
      </c>
      <c r="G5" s="39">
        <f>-E5+F5</f>
        <v>-14.872199894317362</v>
      </c>
    </row>
    <row r="6" spans="1:7" s="35" customFormat="1" ht="15">
      <c r="A6" s="9" t="s">
        <v>123</v>
      </c>
      <c r="B6" s="11">
        <v>19.02</v>
      </c>
      <c r="C6" s="11">
        <v>1.7</v>
      </c>
      <c r="D6" s="9">
        <f>C6/$C$8*$D$8</f>
        <v>7.527675276752767</v>
      </c>
      <c r="E6" s="9">
        <f>(B6+D6)*$D$1</f>
        <v>863.8434603723986</v>
      </c>
      <c r="F6" s="39">
        <v>2246</v>
      </c>
      <c r="G6" s="39">
        <f>-E6+F6</f>
        <v>1382.1565396276014</v>
      </c>
    </row>
    <row r="7" spans="1:7" s="35" customFormat="1" ht="15">
      <c r="A7" s="9" t="s">
        <v>260</v>
      </c>
      <c r="B7" s="40">
        <v>27.96</v>
      </c>
      <c r="C7" s="40">
        <v>0.5</v>
      </c>
      <c r="D7" s="9">
        <f>C7/$C$8*$D$8</f>
        <v>2.2140221402214024</v>
      </c>
      <c r="E7" s="51"/>
      <c r="F7" s="52"/>
      <c r="G7" s="52"/>
    </row>
    <row r="8" spans="1:7" s="43" customFormat="1" ht="15">
      <c r="A8" s="41"/>
      <c r="B8" s="41"/>
      <c r="C8" s="41">
        <f>SUM(C4:C7)</f>
        <v>2.71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41575</v>
      </c>
      <c r="C1" s="31" t="s">
        <v>252</v>
      </c>
      <c r="D1" s="48">
        <v>32.61</v>
      </c>
      <c r="E1" s="28" t="s">
        <v>253</v>
      </c>
    </row>
    <row r="2" s="28" customFormat="1" ht="15">
      <c r="A2" s="46" t="s">
        <v>369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65</v>
      </c>
      <c r="B4" s="11">
        <v>6.5</v>
      </c>
      <c r="C4" s="11">
        <v>0.21</v>
      </c>
      <c r="D4" s="9">
        <f aca="true" t="shared" si="0" ref="D4:D10">C4/$C$11*$D$11</f>
        <v>0.9333333333333333</v>
      </c>
      <c r="E4" s="9">
        <f aca="true" t="shared" si="1" ref="E4:E9">(B4+D4)*$D$1</f>
        <v>242.401</v>
      </c>
      <c r="F4" s="39">
        <v>236</v>
      </c>
      <c r="G4" s="39">
        <f aca="true" t="shared" si="2" ref="G4:G9">-E4+F4</f>
        <v>-6.4010000000000105</v>
      </c>
    </row>
    <row r="5" spans="1:7" s="35" customFormat="1" ht="15">
      <c r="A5" s="9" t="s">
        <v>36</v>
      </c>
      <c r="B5" s="40">
        <v>5.39</v>
      </c>
      <c r="C5" s="64">
        <v>0.4</v>
      </c>
      <c r="D5" s="9">
        <f t="shared" si="0"/>
        <v>1.7777777777777781</v>
      </c>
      <c r="E5" s="9">
        <f t="shared" si="1"/>
        <v>233.74123333333333</v>
      </c>
      <c r="F5" s="39">
        <v>228</v>
      </c>
      <c r="G5" s="39">
        <f t="shared" si="2"/>
        <v>-5.7412333333333265</v>
      </c>
    </row>
    <row r="6" spans="1:7" s="35" customFormat="1" ht="15">
      <c r="A6" s="9" t="s">
        <v>121</v>
      </c>
      <c r="B6" s="40">
        <v>7.08</v>
      </c>
      <c r="C6" s="40">
        <v>0.45</v>
      </c>
      <c r="D6" s="9">
        <f t="shared" si="0"/>
        <v>2</v>
      </c>
      <c r="E6" s="9">
        <f t="shared" si="1"/>
        <v>296.0988</v>
      </c>
      <c r="F6" s="39">
        <v>292</v>
      </c>
      <c r="G6" s="39">
        <f t="shared" si="2"/>
        <v>-4.098799999999983</v>
      </c>
    </row>
    <row r="7" spans="1:8" s="35" customFormat="1" ht="15">
      <c r="A7" s="9" t="s">
        <v>179</v>
      </c>
      <c r="B7" s="40">
        <v>26.28</v>
      </c>
      <c r="C7" s="40">
        <v>0.89</v>
      </c>
      <c r="D7" s="9">
        <f t="shared" si="0"/>
        <v>3.9555555555555557</v>
      </c>
      <c r="E7" s="9">
        <f t="shared" si="1"/>
        <v>985.9814666666667</v>
      </c>
      <c r="F7" s="39">
        <f>977+9</f>
        <v>986</v>
      </c>
      <c r="G7" s="39">
        <f t="shared" si="2"/>
        <v>0.018533333333266455</v>
      </c>
      <c r="H7" s="68"/>
    </row>
    <row r="8" spans="1:7" s="35" customFormat="1" ht="15">
      <c r="A8" s="9" t="s">
        <v>161</v>
      </c>
      <c r="B8" s="40">
        <v>5.39</v>
      </c>
      <c r="C8" s="40">
        <v>0.05</v>
      </c>
      <c r="D8" s="9">
        <f t="shared" si="0"/>
        <v>0.22222222222222227</v>
      </c>
      <c r="E8" s="9">
        <f t="shared" si="1"/>
        <v>183.01456666666667</v>
      </c>
      <c r="F8" s="39">
        <v>181</v>
      </c>
      <c r="G8" s="39">
        <f t="shared" si="2"/>
        <v>-2.014566666666667</v>
      </c>
    </row>
    <row r="9" spans="1:7" s="35" customFormat="1" ht="15">
      <c r="A9" s="9" t="s">
        <v>360</v>
      </c>
      <c r="B9" s="40">
        <v>5.39</v>
      </c>
      <c r="C9" s="40">
        <v>0.05</v>
      </c>
      <c r="D9" s="9">
        <f t="shared" si="0"/>
        <v>0.22222222222222227</v>
      </c>
      <c r="E9" s="9">
        <f t="shared" si="1"/>
        <v>183.01456666666667</v>
      </c>
      <c r="F9" s="39">
        <v>176</v>
      </c>
      <c r="G9" s="39">
        <f t="shared" si="2"/>
        <v>-7.014566666666667</v>
      </c>
    </row>
    <row r="10" spans="1:7" s="35" customFormat="1" ht="15">
      <c r="A10" s="9" t="s">
        <v>260</v>
      </c>
      <c r="B10" s="40">
        <v>17.36</v>
      </c>
      <c r="C10" s="40">
        <v>0.65</v>
      </c>
      <c r="D10" s="9">
        <f t="shared" si="0"/>
        <v>2.8888888888888893</v>
      </c>
      <c r="E10" s="51"/>
      <c r="F10" s="52"/>
      <c r="G10" s="52"/>
    </row>
    <row r="11" spans="1:7" s="43" customFormat="1" ht="15">
      <c r="A11" s="41"/>
      <c r="B11" s="41"/>
      <c r="C11" s="41">
        <f>SUM(C4:C10)</f>
        <v>2.6999999999999997</v>
      </c>
      <c r="D11" s="41">
        <v>12</v>
      </c>
      <c r="E11" s="41"/>
      <c r="F11" s="41"/>
      <c r="G11" s="41"/>
    </row>
    <row r="14" ht="31.5">
      <c r="A14" s="49"/>
    </row>
    <row r="15" ht="31.5">
      <c r="A15" s="49"/>
    </row>
    <row r="16" ht="15">
      <c r="A16" s="38"/>
    </row>
    <row r="17" ht="15">
      <c r="A17" s="38"/>
    </row>
    <row r="18" ht="15">
      <c r="A1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41578</v>
      </c>
      <c r="C1" s="31" t="s">
        <v>252</v>
      </c>
      <c r="D1" s="48">
        <v>32.73</v>
      </c>
      <c r="E1" s="28" t="s">
        <v>253</v>
      </c>
    </row>
    <row r="2" s="28" customFormat="1" ht="15">
      <c r="A2" s="46" t="s">
        <v>370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371</v>
      </c>
      <c r="B4" s="11">
        <v>23.3</v>
      </c>
      <c r="C4" s="11">
        <v>0.08</v>
      </c>
      <c r="D4" s="9">
        <f>C4/$C$7*$D$7</f>
        <v>0.3622641509433962</v>
      </c>
      <c r="E4" s="9">
        <f>(B4+D4)*$D$1</f>
        <v>774.4659056603773</v>
      </c>
      <c r="F4" s="39"/>
      <c r="G4" s="70">
        <f>-E4+F4</f>
        <v>-774.4659056603773</v>
      </c>
    </row>
    <row r="5" spans="1:7" s="35" customFormat="1" ht="15">
      <c r="A5" s="9" t="s">
        <v>94</v>
      </c>
      <c r="B5" s="40">
        <v>31.822</v>
      </c>
      <c r="C5" s="64">
        <v>1.11</v>
      </c>
      <c r="D5" s="9">
        <f>C5/$C$7*$D$7</f>
        <v>5.026415094339622</v>
      </c>
      <c r="E5" s="9">
        <f>(B5+D5)*$D$1</f>
        <v>1206.0486260377356</v>
      </c>
      <c r="F5" s="39">
        <v>1206</v>
      </c>
      <c r="G5" s="70">
        <f>-E5+F5</f>
        <v>-0.048626037735630234</v>
      </c>
    </row>
    <row r="6" spans="1:7" s="35" customFormat="1" ht="15">
      <c r="A6" s="9" t="s">
        <v>260</v>
      </c>
      <c r="B6" s="40">
        <v>35.69</v>
      </c>
      <c r="C6" s="40">
        <v>1.46</v>
      </c>
      <c r="D6" s="9">
        <f>C6/$C$7*$D$7</f>
        <v>6.61132075471698</v>
      </c>
      <c r="E6" s="51"/>
      <c r="F6" s="52"/>
      <c r="G6" s="71"/>
    </row>
    <row r="7" spans="1:7" s="43" customFormat="1" ht="15">
      <c r="A7" s="41"/>
      <c r="B7" s="41"/>
      <c r="C7" s="41">
        <f>SUM(C4:C6)</f>
        <v>2.6500000000000004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7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41191</v>
      </c>
      <c r="C1" s="31" t="s">
        <v>252</v>
      </c>
      <c r="D1" s="32">
        <v>31.17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13" t="s">
        <v>271</v>
      </c>
      <c r="B4" s="9">
        <v>7.63</v>
      </c>
      <c r="C4" s="9">
        <v>0.27</v>
      </c>
      <c r="D4" s="9">
        <f>C4/$C$7*$D$7</f>
        <v>0.5806451612903226</v>
      </c>
      <c r="E4" s="9">
        <f>(B4+D4)*$D$1</f>
        <v>255.92580967741938</v>
      </c>
      <c r="F4" s="39">
        <v>241</v>
      </c>
      <c r="G4" s="39">
        <f>-E4+F4</f>
        <v>-14.92580967741938</v>
      </c>
    </row>
    <row r="5" spans="1:7" ht="15">
      <c r="A5" s="13" t="s">
        <v>78</v>
      </c>
      <c r="B5" s="9">
        <v>52.02</v>
      </c>
      <c r="C5" s="9">
        <v>1.32</v>
      </c>
      <c r="D5" s="9">
        <f>C5/$C$7*$D$7</f>
        <v>2.838709677419355</v>
      </c>
      <c r="E5" s="9">
        <f>(B5+D5)*$D$1</f>
        <v>1709.9459806451614</v>
      </c>
      <c r="F5" s="39">
        <f>1725-16</f>
        <v>1709</v>
      </c>
      <c r="G5" s="39">
        <f>-E5+F5</f>
        <v>-0.9459806451613986</v>
      </c>
    </row>
    <row r="6" spans="1:7" ht="15">
      <c r="A6" s="9" t="s">
        <v>59</v>
      </c>
      <c r="B6" s="9">
        <v>5.58</v>
      </c>
      <c r="C6" s="9">
        <v>0.27</v>
      </c>
      <c r="D6" s="9">
        <f>C6/$C$7*$D$7</f>
        <v>0.5806451612903226</v>
      </c>
      <c r="E6" s="9">
        <f>(B6+D6)*$D$1</f>
        <v>192.02730967741937</v>
      </c>
      <c r="F6" s="39">
        <v>194</v>
      </c>
      <c r="G6" s="39">
        <f>-E6+F6</f>
        <v>1.9726903225806325</v>
      </c>
    </row>
    <row r="7" spans="1:7" ht="15">
      <c r="A7" s="36"/>
      <c r="B7" s="36"/>
      <c r="C7" s="36">
        <f>SUM(C4:C6)</f>
        <v>1.86</v>
      </c>
      <c r="D7" s="36">
        <v>4</v>
      </c>
      <c r="E7" s="36"/>
      <c r="F7" s="11"/>
      <c r="G7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41578</v>
      </c>
      <c r="C1" s="31" t="s">
        <v>252</v>
      </c>
      <c r="D1" s="48">
        <v>32.73</v>
      </c>
      <c r="E1" s="28" t="s">
        <v>253</v>
      </c>
    </row>
    <row r="2" s="28" customFormat="1" ht="15">
      <c r="A2" s="46" t="s">
        <v>370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371</v>
      </c>
      <c r="B4" s="11">
        <v>58.45</v>
      </c>
      <c r="C4" s="11">
        <v>0.3</v>
      </c>
      <c r="D4" s="9">
        <f>C4/$C$7*$D$7</f>
        <v>1.38996138996139</v>
      </c>
      <c r="E4" s="9">
        <f>(B4+D4)*$D$1</f>
        <v>1958.5619362934362</v>
      </c>
      <c r="F4" s="39"/>
      <c r="G4" s="70">
        <f>-E4+F4</f>
        <v>-1958.5619362934362</v>
      </c>
    </row>
    <row r="5" spans="1:7" s="35" customFormat="1" ht="15">
      <c r="A5" s="9" t="s">
        <v>177</v>
      </c>
      <c r="B5" s="40">
        <v>22.28</v>
      </c>
      <c r="C5" s="64">
        <v>1.21</v>
      </c>
      <c r="D5" s="9">
        <f>C5/$C$7*$D$7</f>
        <v>5.6061776061776065</v>
      </c>
      <c r="E5" s="9">
        <f>(B5+D5)*$D$1</f>
        <v>912.714593050193</v>
      </c>
      <c r="F5" s="39">
        <v>912</v>
      </c>
      <c r="G5" s="70">
        <f>-E5+F5</f>
        <v>-0.7145930501930025</v>
      </c>
    </row>
    <row r="6" spans="1:7" s="35" customFormat="1" ht="15">
      <c r="A6" s="9" t="s">
        <v>260</v>
      </c>
      <c r="B6" s="40">
        <v>14.78</v>
      </c>
      <c r="C6" s="40">
        <v>1.08</v>
      </c>
      <c r="D6" s="9">
        <f>C6/$C$7*$D$7</f>
        <v>5.0038610038610045</v>
      </c>
      <c r="E6" s="51"/>
      <c r="F6" s="52"/>
      <c r="G6" s="52"/>
    </row>
    <row r="7" spans="1:7" s="43" customFormat="1" ht="15">
      <c r="A7" s="41"/>
      <c r="B7" s="41"/>
      <c r="C7" s="41">
        <f>SUM(C4:C6)</f>
        <v>2.59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indexed="10"/>
  </sheetPr>
  <dimension ref="A1:G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41578</v>
      </c>
      <c r="C1" s="31" t="s">
        <v>252</v>
      </c>
      <c r="D1" s="48">
        <v>32.73</v>
      </c>
      <c r="E1" s="28" t="s">
        <v>253</v>
      </c>
    </row>
    <row r="2" s="28" customFormat="1" ht="15">
      <c r="A2" s="46" t="s">
        <v>370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371</v>
      </c>
      <c r="B4" s="11">
        <v>23.3</v>
      </c>
      <c r="C4" s="11">
        <v>0.08</v>
      </c>
      <c r="D4" s="9">
        <f aca="true" t="shared" si="0" ref="D4:D10">C4/$C$11*$D$11</f>
        <v>0.4651162790697674</v>
      </c>
      <c r="E4" s="9">
        <f aca="true" t="shared" si="1" ref="E4:E10">(B4+D4)*$D$1</f>
        <v>777.8322558139535</v>
      </c>
      <c r="F4" s="39">
        <v>3506</v>
      </c>
      <c r="G4" s="70">
        <f aca="true" t="shared" si="2" ref="G4:G9">-E4+F4</f>
        <v>2728.1677441860465</v>
      </c>
    </row>
    <row r="5" spans="1:7" s="35" customFormat="1" ht="15">
      <c r="A5" s="9" t="s">
        <v>245</v>
      </c>
      <c r="B5" s="40">
        <v>5.59</v>
      </c>
      <c r="C5" s="64">
        <v>0.19</v>
      </c>
      <c r="D5" s="9">
        <f t="shared" si="0"/>
        <v>1.1046511627906976</v>
      </c>
      <c r="E5" s="9">
        <f t="shared" si="1"/>
        <v>219.11593255813952</v>
      </c>
      <c r="F5" s="39">
        <v>219</v>
      </c>
      <c r="G5" s="70">
        <f t="shared" si="2"/>
        <v>-0.11593255813951941</v>
      </c>
    </row>
    <row r="6" spans="1:7" s="35" customFormat="1" ht="15">
      <c r="A6" s="9" t="s">
        <v>211</v>
      </c>
      <c r="B6" s="40">
        <v>7.88</v>
      </c>
      <c r="C6" s="40">
        <v>0.29</v>
      </c>
      <c r="D6" s="9">
        <f t="shared" si="0"/>
        <v>1.6860465116279066</v>
      </c>
      <c r="E6" s="9">
        <f t="shared" si="1"/>
        <v>313.09670232558136</v>
      </c>
      <c r="F6" s="66">
        <v>313</v>
      </c>
      <c r="G6" s="70">
        <f t="shared" si="2"/>
        <v>-0.09670232558136149</v>
      </c>
    </row>
    <row r="7" spans="1:7" s="35" customFormat="1" ht="15">
      <c r="A7" s="9" t="s">
        <v>69</v>
      </c>
      <c r="B7" s="40">
        <v>19.18</v>
      </c>
      <c r="C7" s="40">
        <v>0.14</v>
      </c>
      <c r="D7" s="9">
        <f t="shared" si="0"/>
        <v>0.8139534883720929</v>
      </c>
      <c r="E7" s="9">
        <f t="shared" si="1"/>
        <v>654.4020976744185</v>
      </c>
      <c r="F7" s="39">
        <v>654</v>
      </c>
      <c r="G7" s="70">
        <f t="shared" si="2"/>
        <v>-0.40209767441854183</v>
      </c>
    </row>
    <row r="8" spans="1:7" s="35" customFormat="1" ht="15">
      <c r="A8" s="9" t="s">
        <v>268</v>
      </c>
      <c r="B8" s="40">
        <v>22.29</v>
      </c>
      <c r="C8" s="40">
        <v>0.56</v>
      </c>
      <c r="D8" s="9">
        <f t="shared" si="0"/>
        <v>3.2558139534883717</v>
      </c>
      <c r="E8" s="9">
        <f t="shared" si="1"/>
        <v>836.1144906976742</v>
      </c>
      <c r="F8" s="39">
        <v>836</v>
      </c>
      <c r="G8" s="70">
        <f t="shared" si="2"/>
        <v>-0.1144906976742277</v>
      </c>
    </row>
    <row r="9" spans="1:7" s="35" customFormat="1" ht="15">
      <c r="A9" s="9" t="s">
        <v>372</v>
      </c>
      <c r="B9" s="40">
        <v>9.28</v>
      </c>
      <c r="C9" s="40">
        <v>0.27</v>
      </c>
      <c r="D9" s="9">
        <f t="shared" si="0"/>
        <v>1.5697674418604652</v>
      </c>
      <c r="E9" s="9">
        <f t="shared" si="1"/>
        <v>355.112888372093</v>
      </c>
      <c r="F9" s="39">
        <v>348</v>
      </c>
      <c r="G9" s="70">
        <f t="shared" si="2"/>
        <v>-7.112888372092982</v>
      </c>
    </row>
    <row r="10" spans="1:7" s="35" customFormat="1" ht="15">
      <c r="A10" s="9" t="s">
        <v>260</v>
      </c>
      <c r="B10" s="40">
        <v>10.45</v>
      </c>
      <c r="C10" s="40">
        <v>0.19</v>
      </c>
      <c r="D10" s="9">
        <f t="shared" si="0"/>
        <v>1.1046511627906976</v>
      </c>
      <c r="E10" s="51">
        <f t="shared" si="1"/>
        <v>378.18373255813947</v>
      </c>
      <c r="F10" s="52"/>
      <c r="G10" s="71"/>
    </row>
    <row r="11" spans="1:7" s="43" customFormat="1" ht="15">
      <c r="A11" s="41"/>
      <c r="B11" s="41"/>
      <c r="C11" s="41">
        <f>SUM(C4:C10)</f>
        <v>1.7200000000000002</v>
      </c>
      <c r="D11" s="41">
        <v>10</v>
      </c>
      <c r="E11" s="41"/>
      <c r="F11" s="41"/>
      <c r="G11" s="41"/>
    </row>
    <row r="14" ht="31.5">
      <c r="A14" s="49"/>
    </row>
    <row r="15" ht="31.5">
      <c r="A15" s="49"/>
    </row>
    <row r="16" ht="15">
      <c r="A16" s="38"/>
    </row>
    <row r="17" ht="15">
      <c r="A17" s="38"/>
    </row>
    <row r="18" ht="15">
      <c r="A1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41584</v>
      </c>
      <c r="C1" s="31" t="s">
        <v>252</v>
      </c>
      <c r="D1" s="48">
        <v>33.03</v>
      </c>
      <c r="E1" s="28" t="s">
        <v>253</v>
      </c>
    </row>
    <row r="2" s="28" customFormat="1" ht="15">
      <c r="A2" s="46" t="s">
        <v>373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268</v>
      </c>
      <c r="B4" s="40">
        <v>19.96</v>
      </c>
      <c r="C4" s="40">
        <v>0.23</v>
      </c>
      <c r="D4" s="9">
        <f>C4/$C$6*$D$6</f>
        <v>1.393939393939394</v>
      </c>
      <c r="E4" s="9">
        <f>(B4+D4)*$D$1</f>
        <v>705.3206181818183</v>
      </c>
      <c r="F4" s="39">
        <v>705</v>
      </c>
      <c r="G4" s="70">
        <f>-E4+F4</f>
        <v>-0.32061818181830404</v>
      </c>
    </row>
    <row r="5" spans="1:7" s="35" customFormat="1" ht="15">
      <c r="A5" s="9" t="s">
        <v>144</v>
      </c>
      <c r="B5" s="40">
        <v>79.62</v>
      </c>
      <c r="C5" s="40">
        <v>1.42</v>
      </c>
      <c r="D5" s="9">
        <f>C5/$C$6*$D$6</f>
        <v>8.606060606060606</v>
      </c>
      <c r="E5" s="9">
        <f>(B5+D5)*$D$1</f>
        <v>2914.1067818181823</v>
      </c>
      <c r="F5" s="39">
        <v>2911</v>
      </c>
      <c r="G5" s="70">
        <f>-E5+F5</f>
        <v>-3.1067818181822986</v>
      </c>
    </row>
    <row r="6" spans="1:7" s="43" customFormat="1" ht="15">
      <c r="A6" s="41"/>
      <c r="B6" s="41"/>
      <c r="C6" s="41">
        <f>SUM(C4:C5)</f>
        <v>1.65</v>
      </c>
      <c r="D6" s="41">
        <v>10</v>
      </c>
      <c r="E6" s="41"/>
      <c r="F6" s="41"/>
      <c r="G6" s="41"/>
    </row>
    <row r="11" ht="15">
      <c r="A11" s="38"/>
    </row>
    <row r="12" ht="15">
      <c r="A12" s="38"/>
    </row>
    <row r="13" ht="15">
      <c r="A13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  <col min="8" max="8" width="21.8515625" style="0" customWidth="1"/>
  </cols>
  <sheetData>
    <row r="1" spans="1:5" s="28" customFormat="1" ht="21">
      <c r="A1" s="29" t="s">
        <v>251</v>
      </c>
      <c r="B1" s="30">
        <v>41589</v>
      </c>
      <c r="C1" s="31" t="s">
        <v>252</v>
      </c>
      <c r="D1" s="48">
        <v>33.11</v>
      </c>
      <c r="E1" s="28" t="s">
        <v>253</v>
      </c>
    </row>
    <row r="2" s="28" customFormat="1" ht="15">
      <c r="A2" s="46" t="s">
        <v>374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8" s="35" customFormat="1" ht="45">
      <c r="A4" s="9" t="s">
        <v>156</v>
      </c>
      <c r="B4" s="11">
        <v>22.13</v>
      </c>
      <c r="C4" s="11">
        <v>0.38</v>
      </c>
      <c r="D4" s="9">
        <f>C4/$C$9*$D$9</f>
        <v>1.7471264367816088</v>
      </c>
      <c r="E4" s="39">
        <f>(B4+D4)*$D$1</f>
        <v>790.5716563218391</v>
      </c>
      <c r="F4" s="39">
        <f>14092-2784-2763</f>
        <v>8545</v>
      </c>
      <c r="G4" s="70">
        <f>-E4+F4</f>
        <v>7754.428343678161</v>
      </c>
      <c r="H4" s="53" t="s">
        <v>375</v>
      </c>
    </row>
    <row r="5" spans="1:7" s="35" customFormat="1" ht="15">
      <c r="A5" s="9" t="s">
        <v>137</v>
      </c>
      <c r="B5" s="40">
        <v>36.33</v>
      </c>
      <c r="C5" s="64">
        <v>0.45</v>
      </c>
      <c r="D5" s="9">
        <f>C5/$C$9*$D$9</f>
        <v>2.068965517241379</v>
      </c>
      <c r="E5" s="39">
        <f>(B5+D5)*$D$1</f>
        <v>1271.389748275862</v>
      </c>
      <c r="F5" s="39">
        <v>1275</v>
      </c>
      <c r="G5" s="70">
        <f>-E5+F5</f>
        <v>3.6102517241379246</v>
      </c>
    </row>
    <row r="6" spans="1:7" s="35" customFormat="1" ht="15">
      <c r="A6" s="9" t="s">
        <v>224</v>
      </c>
      <c r="B6" s="40">
        <v>15.21</v>
      </c>
      <c r="C6" s="40">
        <v>0.64</v>
      </c>
      <c r="D6" s="9">
        <f>C6/$C$9*$D$9</f>
        <v>2.942528735632184</v>
      </c>
      <c r="E6" s="39">
        <f>(B6+D6)*$D$1</f>
        <v>601.0302264367816</v>
      </c>
      <c r="F6" s="39">
        <f>400+200</f>
        <v>600</v>
      </c>
      <c r="G6" s="70">
        <f>-E6+F6</f>
        <v>-1.0302264367816178</v>
      </c>
    </row>
    <row r="7" spans="1:7" s="35" customFormat="1" ht="15">
      <c r="A7" s="9" t="s">
        <v>359</v>
      </c>
      <c r="B7" s="40">
        <v>8.74</v>
      </c>
      <c r="C7" s="40">
        <v>0.11</v>
      </c>
      <c r="D7" s="9">
        <f>C7/$C$9*$D$9</f>
        <v>0.5057471264367815</v>
      </c>
      <c r="E7" s="39">
        <f>(B7+D7)*$D$1</f>
        <v>306.12668735632184</v>
      </c>
      <c r="F7" s="39">
        <v>290</v>
      </c>
      <c r="G7" s="70">
        <f>-E7+F7</f>
        <v>-16.12668735632184</v>
      </c>
    </row>
    <row r="8" spans="1:7" s="35" customFormat="1" ht="15">
      <c r="A8" s="9" t="s">
        <v>202</v>
      </c>
      <c r="B8" s="40">
        <v>16.71</v>
      </c>
      <c r="C8" s="40">
        <v>1.03</v>
      </c>
      <c r="D8" s="9">
        <f>C8/$C$9*$D$9</f>
        <v>4.735632183908045</v>
      </c>
      <c r="E8" s="39">
        <f>(B8+D8)*$D$1</f>
        <v>710.0648816091954</v>
      </c>
      <c r="F8" s="39">
        <v>712</v>
      </c>
      <c r="G8" s="70">
        <f>-E8+F8</f>
        <v>1.9351183908046323</v>
      </c>
    </row>
    <row r="9" spans="1:7" s="43" customFormat="1" ht="15">
      <c r="A9" s="41"/>
      <c r="B9" s="41"/>
      <c r="C9" s="41">
        <f>SUM(C4:C8)</f>
        <v>2.6100000000000003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A1" sqref="A1:IV7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41589</v>
      </c>
      <c r="C1" s="31" t="s">
        <v>252</v>
      </c>
      <c r="D1" s="48">
        <v>33.11</v>
      </c>
      <c r="E1" s="28" t="s">
        <v>253</v>
      </c>
    </row>
    <row r="2" s="28" customFormat="1" ht="15">
      <c r="A2" s="46" t="s">
        <v>374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156</v>
      </c>
      <c r="B4" s="11">
        <v>58.71</v>
      </c>
      <c r="C4" s="11">
        <v>0.68</v>
      </c>
      <c r="D4" s="9">
        <f>C4/$C$7*$D$7</f>
        <v>3.0676691729323307</v>
      </c>
      <c r="E4" s="9">
        <f>(B4+D4)*$D$1</f>
        <v>2045.4586263157896</v>
      </c>
      <c r="F4" s="39"/>
      <c r="G4" s="70">
        <f>-E4+F4</f>
        <v>-2045.4586263157896</v>
      </c>
    </row>
    <row r="5" spans="1:7" s="35" customFormat="1" ht="15">
      <c r="A5" s="9" t="s">
        <v>25</v>
      </c>
      <c r="B5" s="40">
        <v>21.33</v>
      </c>
      <c r="C5" s="64">
        <v>0.74</v>
      </c>
      <c r="D5" s="9">
        <f>C5/$C$7*$D$7</f>
        <v>3.3383458646616537</v>
      </c>
      <c r="E5" s="9">
        <f>(B5+D5)*$D$1</f>
        <v>816.7689315789473</v>
      </c>
      <c r="F5" s="39">
        <v>819</v>
      </c>
      <c r="G5" s="70">
        <f>-E5+F5</f>
        <v>2.231068421052669</v>
      </c>
    </row>
    <row r="6" spans="1:7" s="35" customFormat="1" ht="15">
      <c r="A6" s="9" t="s">
        <v>260</v>
      </c>
      <c r="B6" s="40">
        <v>17.73</v>
      </c>
      <c r="C6" s="40">
        <v>1.24</v>
      </c>
      <c r="D6" s="9">
        <f>C6/$C$7*$D$7</f>
        <v>5.593984962406015</v>
      </c>
      <c r="E6" s="51"/>
      <c r="F6" s="52"/>
      <c r="G6" s="71"/>
    </row>
    <row r="7" spans="1:7" s="43" customFormat="1" ht="15">
      <c r="A7" s="41"/>
      <c r="B7" s="41"/>
      <c r="C7" s="41">
        <f>SUM(C4:C6)</f>
        <v>2.66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41589</v>
      </c>
      <c r="C1" s="31" t="s">
        <v>252</v>
      </c>
      <c r="D1" s="48">
        <v>33.11</v>
      </c>
      <c r="E1" s="28" t="s">
        <v>253</v>
      </c>
    </row>
    <row r="2" s="28" customFormat="1" ht="15">
      <c r="A2" s="46" t="s">
        <v>374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156</v>
      </c>
      <c r="B4" s="11">
        <v>72.61</v>
      </c>
      <c r="C4" s="11">
        <v>1.65</v>
      </c>
      <c r="D4" s="9">
        <f>C4/$C$7*$D$7</f>
        <v>7.415730337078651</v>
      </c>
      <c r="E4" s="9">
        <f>(B4+D4)*$D$1</f>
        <v>2649.6519314606744</v>
      </c>
      <c r="F4" s="39"/>
      <c r="G4" s="70">
        <f>-E4+F4</f>
        <v>-2649.6519314606744</v>
      </c>
    </row>
    <row r="5" spans="1:7" s="35" customFormat="1" ht="15">
      <c r="A5" s="9" t="s">
        <v>240</v>
      </c>
      <c r="B5" s="64">
        <v>14.39</v>
      </c>
      <c r="C5" s="64">
        <v>0.57</v>
      </c>
      <c r="D5" s="9">
        <f>C5/$C$7*$D$7</f>
        <v>2.561797752808989</v>
      </c>
      <c r="E5" s="9">
        <f>(B5+D5)*$D$1</f>
        <v>561.2740235955056</v>
      </c>
      <c r="F5" s="39">
        <f>533+28</f>
        <v>561</v>
      </c>
      <c r="G5" s="70">
        <f>-E5+F5</f>
        <v>-0.2740235955055823</v>
      </c>
    </row>
    <row r="6" spans="1:7" s="35" customFormat="1" ht="15">
      <c r="A6" s="9" t="s">
        <v>260</v>
      </c>
      <c r="B6" s="40">
        <v>9</v>
      </c>
      <c r="C6" s="40">
        <v>0.45</v>
      </c>
      <c r="D6" s="9">
        <f>C6/$C$7*$D$7</f>
        <v>2.0224719101123596</v>
      </c>
      <c r="E6" s="51"/>
      <c r="F6" s="52"/>
      <c r="G6" s="71"/>
    </row>
    <row r="7" spans="1:7" s="43" customFormat="1" ht="15">
      <c r="A7" s="41"/>
      <c r="B7" s="41"/>
      <c r="C7" s="41">
        <f>SUM(C4:C6)</f>
        <v>2.67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41589</v>
      </c>
      <c r="C1" s="31" t="s">
        <v>252</v>
      </c>
      <c r="D1" s="48">
        <v>33.11</v>
      </c>
      <c r="E1" s="28" t="s">
        <v>253</v>
      </c>
    </row>
    <row r="2" s="28" customFormat="1" ht="15">
      <c r="A2" s="46" t="s">
        <v>374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156</v>
      </c>
      <c r="B4" s="11">
        <v>86.38</v>
      </c>
      <c r="C4" s="11">
        <v>0.67</v>
      </c>
      <c r="D4" s="9">
        <f>C4/$C$6*$D$6</f>
        <v>6.02247191011236</v>
      </c>
      <c r="E4" s="9">
        <f>(B4+D4)*$D$1</f>
        <v>3059.44584494382</v>
      </c>
      <c r="F4" s="39"/>
      <c r="G4" s="70">
        <f>-E4+F4</f>
        <v>-3059.44584494382</v>
      </c>
    </row>
    <row r="5" spans="1:7" s="35" customFormat="1" ht="15">
      <c r="A5" s="9" t="s">
        <v>260</v>
      </c>
      <c r="B5" s="40">
        <v>9.5</v>
      </c>
      <c r="C5" s="40">
        <v>0.22</v>
      </c>
      <c r="D5" s="9">
        <f>C5/$C$6*$D$6</f>
        <v>1.9775280898876404</v>
      </c>
      <c r="E5" s="51"/>
      <c r="F5" s="52"/>
      <c r="G5" s="71"/>
    </row>
    <row r="6" spans="1:7" s="43" customFormat="1" ht="15">
      <c r="A6" s="41"/>
      <c r="B6" s="41"/>
      <c r="C6" s="41">
        <f>SUM(C4:C5)</f>
        <v>0.89</v>
      </c>
      <c r="D6" s="41">
        <v>8</v>
      </c>
      <c r="E6" s="41"/>
      <c r="F6" s="41"/>
      <c r="G6" s="41"/>
    </row>
    <row r="9" ht="31.5">
      <c r="A9" s="49"/>
    </row>
    <row r="10" ht="31.5">
      <c r="A10" s="49"/>
    </row>
    <row r="11" ht="15">
      <c r="A11" s="38"/>
    </row>
    <row r="12" ht="15">
      <c r="A12" s="38"/>
    </row>
    <row r="13" ht="15">
      <c r="A13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41597</v>
      </c>
      <c r="C1" s="31" t="s">
        <v>252</v>
      </c>
      <c r="D1" s="48">
        <v>33.58</v>
      </c>
      <c r="E1" s="28" t="s">
        <v>253</v>
      </c>
    </row>
    <row r="2" s="28" customFormat="1" ht="15">
      <c r="A2" s="46" t="s">
        <v>376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236</v>
      </c>
      <c r="B4" s="11">
        <v>4.04</v>
      </c>
      <c r="C4" s="11">
        <v>0.06</v>
      </c>
      <c r="D4" s="9">
        <f aca="true" t="shared" si="0" ref="D4:D9">C4/$C$10*$D$10</f>
        <v>0.26666666666666666</v>
      </c>
      <c r="E4" s="9">
        <f>(B4+D4)*$D$1</f>
        <v>144.61786666666666</v>
      </c>
      <c r="F4" s="39">
        <v>144</v>
      </c>
      <c r="G4" s="70">
        <f>-E4+F4</f>
        <v>-0.6178666666666572</v>
      </c>
    </row>
    <row r="5" spans="1:7" s="35" customFormat="1" ht="15">
      <c r="A5" s="9" t="s">
        <v>84</v>
      </c>
      <c r="B5" s="11">
        <v>24.96</v>
      </c>
      <c r="C5" s="11">
        <v>1.02</v>
      </c>
      <c r="D5" s="9">
        <f t="shared" si="0"/>
        <v>4.533333333333334</v>
      </c>
      <c r="E5" s="9">
        <f>(B5+D5)*$D$1</f>
        <v>990.3861333333334</v>
      </c>
      <c r="F5" s="39">
        <v>980</v>
      </c>
      <c r="G5" s="70">
        <f>-E5+F5</f>
        <v>-10.386133333333419</v>
      </c>
    </row>
    <row r="6" spans="1:7" s="35" customFormat="1" ht="15">
      <c r="A6" s="9" t="s">
        <v>133</v>
      </c>
      <c r="B6" s="11">
        <v>36.73</v>
      </c>
      <c r="C6" s="11">
        <v>0.46</v>
      </c>
      <c r="D6" s="9">
        <f t="shared" si="0"/>
        <v>2.0444444444444447</v>
      </c>
      <c r="E6" s="9">
        <f>(B6+D6)*$D$1</f>
        <v>1302.0458444444444</v>
      </c>
      <c r="F6" s="39">
        <v>1295</v>
      </c>
      <c r="G6" s="70">
        <f>-E6+F6</f>
        <v>-7.045844444444356</v>
      </c>
    </row>
    <row r="7" spans="1:7" s="35" customFormat="1" ht="15">
      <c r="A7" s="9" t="s">
        <v>268</v>
      </c>
      <c r="B7" s="11">
        <v>9.62</v>
      </c>
      <c r="C7" s="11">
        <v>0.08</v>
      </c>
      <c r="D7" s="9">
        <f t="shared" si="0"/>
        <v>0.3555555555555556</v>
      </c>
      <c r="E7" s="9">
        <f>(B7+D7)*$D$1</f>
        <v>334.9791555555555</v>
      </c>
      <c r="F7" s="39">
        <v>331</v>
      </c>
      <c r="G7" s="70">
        <f>-E7+F7</f>
        <v>-3.979155555555508</v>
      </c>
    </row>
    <row r="8" spans="1:7" s="35" customFormat="1" ht="15">
      <c r="A8" s="9" t="s">
        <v>192</v>
      </c>
      <c r="B8" s="40">
        <v>11.14</v>
      </c>
      <c r="C8" s="64">
        <v>0.76</v>
      </c>
      <c r="D8" s="9">
        <f t="shared" si="0"/>
        <v>3.377777777777778</v>
      </c>
      <c r="E8" s="9">
        <f>(B8+D8)*$D$1</f>
        <v>487.50697777777776</v>
      </c>
      <c r="F8" s="39">
        <f>485+3</f>
        <v>488</v>
      </c>
      <c r="G8" s="70">
        <f>-E8+F8</f>
        <v>0.4930222222222369</v>
      </c>
    </row>
    <row r="9" spans="1:7" s="35" customFormat="1" ht="15">
      <c r="A9" s="9" t="s">
        <v>260</v>
      </c>
      <c r="B9" s="11">
        <v>4.61</v>
      </c>
      <c r="C9" s="40">
        <v>0.32</v>
      </c>
      <c r="D9" s="9">
        <f t="shared" si="0"/>
        <v>1.4222222222222225</v>
      </c>
      <c r="E9" s="51"/>
      <c r="F9" s="52"/>
      <c r="G9" s="71"/>
    </row>
    <row r="10" spans="1:7" s="43" customFormat="1" ht="15">
      <c r="A10" s="41"/>
      <c r="B10" s="41"/>
      <c r="C10" s="41">
        <f>SUM(C4:C9)</f>
        <v>2.6999999999999997</v>
      </c>
      <c r="D10" s="41">
        <v>12</v>
      </c>
      <c r="E10" s="41"/>
      <c r="F10" s="41"/>
      <c r="G10" s="41"/>
    </row>
    <row r="12" ht="31.5">
      <c r="A12" s="49"/>
    </row>
    <row r="13" ht="31.5">
      <c r="A13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41597</v>
      </c>
      <c r="C1" s="31" t="s">
        <v>252</v>
      </c>
      <c r="D1" s="48">
        <v>33.58</v>
      </c>
      <c r="E1" s="28" t="s">
        <v>253</v>
      </c>
    </row>
    <row r="2" s="28" customFormat="1" ht="15">
      <c r="A2" s="46" t="s">
        <v>376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121</v>
      </c>
      <c r="B4" s="11">
        <v>10.81</v>
      </c>
      <c r="C4" s="11">
        <v>0.22</v>
      </c>
      <c r="D4" s="9">
        <f>C4/$C$7*$D$7</f>
        <v>1.03125</v>
      </c>
      <c r="E4" s="9">
        <f>(B4+D4)*$D$1</f>
        <v>397.629175</v>
      </c>
      <c r="F4" s="39">
        <v>398</v>
      </c>
      <c r="G4" s="70">
        <f>-E4+F4</f>
        <v>0.37082500000002483</v>
      </c>
    </row>
    <row r="5" spans="1:7" s="35" customFormat="1" ht="15">
      <c r="A5" s="9" t="s">
        <v>69</v>
      </c>
      <c r="B5" s="40">
        <v>20.07</v>
      </c>
      <c r="C5" s="64">
        <v>2.23</v>
      </c>
      <c r="D5" s="9">
        <f>C5/$C$7*$D$7</f>
        <v>10.453125</v>
      </c>
      <c r="E5" s="9">
        <f>(B5+D5)*$D$1</f>
        <v>1024.9665375</v>
      </c>
      <c r="F5" s="39">
        <v>921</v>
      </c>
      <c r="G5" s="70">
        <f>-E5+F5</f>
        <v>-103.96653749999996</v>
      </c>
    </row>
    <row r="6" spans="1:7" s="35" customFormat="1" ht="15">
      <c r="A6" s="9" t="s">
        <v>260</v>
      </c>
      <c r="B6" s="40">
        <v>9</v>
      </c>
      <c r="C6" s="40">
        <v>0.11</v>
      </c>
      <c r="D6" s="9">
        <f>C6/$C$7*$D$7</f>
        <v>0.515625</v>
      </c>
      <c r="E6" s="51"/>
      <c r="F6" s="52"/>
      <c r="G6" s="71"/>
    </row>
    <row r="7" spans="1:7" s="43" customFormat="1" ht="15">
      <c r="A7" s="41"/>
      <c r="B7" s="41"/>
      <c r="C7" s="41">
        <f>SUM(C4:C6)</f>
        <v>2.56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41597</v>
      </c>
      <c r="C1" s="31" t="s">
        <v>252</v>
      </c>
      <c r="D1" s="48">
        <v>33.58</v>
      </c>
      <c r="E1" s="28" t="s">
        <v>253</v>
      </c>
    </row>
    <row r="2" s="28" customFormat="1" ht="15">
      <c r="A2" s="46" t="s">
        <v>376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207</v>
      </c>
      <c r="B4" s="11">
        <v>49.16</v>
      </c>
      <c r="C4" s="11">
        <v>0.44</v>
      </c>
      <c r="D4" s="9">
        <f>C4/$C$7*$D$7</f>
        <v>1.9483394833948338</v>
      </c>
      <c r="E4" s="9">
        <f>(B4+D4)*$D$1</f>
        <v>1716.2180398523983</v>
      </c>
      <c r="F4" s="39">
        <v>1709</v>
      </c>
      <c r="G4" s="70">
        <f>-E4+F4</f>
        <v>-7.218039852398306</v>
      </c>
    </row>
    <row r="5" spans="1:7" s="35" customFormat="1" ht="15">
      <c r="A5" s="9" t="s">
        <v>340</v>
      </c>
      <c r="B5" s="40">
        <v>26.47</v>
      </c>
      <c r="C5" s="64">
        <v>2.16</v>
      </c>
      <c r="D5" s="9">
        <f>C5/$C$7*$D$7</f>
        <v>9.56457564575646</v>
      </c>
      <c r="E5" s="9">
        <f>(B5+D5)*$D$1</f>
        <v>1210.041050184502</v>
      </c>
      <c r="F5" s="39"/>
      <c r="G5" s="70">
        <f>-E5+F5</f>
        <v>-1210.041050184502</v>
      </c>
    </row>
    <row r="6" spans="1:7" s="35" customFormat="1" ht="15">
      <c r="A6" s="9" t="s">
        <v>260</v>
      </c>
      <c r="B6" s="40">
        <v>14.39</v>
      </c>
      <c r="C6" s="40">
        <v>0.11</v>
      </c>
      <c r="D6" s="9">
        <f>C6/$C$7*$D$7</f>
        <v>0.48708487084870844</v>
      </c>
      <c r="E6" s="51"/>
      <c r="F6" s="52"/>
      <c r="G6" s="71"/>
    </row>
    <row r="7" spans="1:7" s="43" customFormat="1" ht="15">
      <c r="A7" s="41"/>
      <c r="B7" s="41"/>
      <c r="C7" s="41">
        <f>SUM(C4:C6)</f>
        <v>2.71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G6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41206</v>
      </c>
      <c r="C1" s="31" t="s">
        <v>252</v>
      </c>
      <c r="D1" s="32">
        <v>31.25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13" t="s">
        <v>271</v>
      </c>
      <c r="B4" s="9">
        <v>62.08</v>
      </c>
      <c r="C4" s="9">
        <v>1.56</v>
      </c>
      <c r="D4" s="9">
        <f>C4/$C$6*$D$6</f>
        <v>4.254545454545455</v>
      </c>
      <c r="E4" s="9">
        <f>(B4+D4)*$D$1</f>
        <v>2072.9545454545455</v>
      </c>
      <c r="F4" s="39">
        <v>2088</v>
      </c>
      <c r="G4" s="39">
        <f>-E4+F4</f>
        <v>15.045454545454504</v>
      </c>
    </row>
    <row r="5" spans="1:7" ht="15">
      <c r="A5" s="13" t="s">
        <v>89</v>
      </c>
      <c r="B5" s="9">
        <v>12.1</v>
      </c>
      <c r="C5" s="9">
        <v>0.64</v>
      </c>
      <c r="D5" s="9">
        <f>C5/$C$6*$D$6</f>
        <v>1.7454545454545454</v>
      </c>
      <c r="E5" s="9">
        <f>(B5+D5)*$D$1</f>
        <v>432.67045454545456</v>
      </c>
      <c r="F5" s="39">
        <v>433</v>
      </c>
      <c r="G5" s="39">
        <f>-E5+F5</f>
        <v>0.32954545454543904</v>
      </c>
    </row>
    <row r="6" spans="1:7" ht="15">
      <c r="A6" s="36"/>
      <c r="B6" s="36"/>
      <c r="C6" s="36">
        <f>SUM(C4:C5)</f>
        <v>2.2</v>
      </c>
      <c r="D6" s="36">
        <v>6</v>
      </c>
      <c r="E6" s="36"/>
      <c r="F6" s="11"/>
      <c r="G6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41597</v>
      </c>
      <c r="C1" s="31" t="s">
        <v>252</v>
      </c>
      <c r="D1" s="48">
        <v>33.58</v>
      </c>
      <c r="E1" s="28" t="s">
        <v>253</v>
      </c>
    </row>
    <row r="2" s="28" customFormat="1" ht="15">
      <c r="A2" s="46" t="s">
        <v>376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340</v>
      </c>
      <c r="B4" s="11">
        <v>44.66</v>
      </c>
      <c r="C4" s="11">
        <v>2.63</v>
      </c>
      <c r="D4" s="9">
        <f>C4/$C$5*$D$5</f>
        <v>12</v>
      </c>
      <c r="E4" s="9">
        <f>(B4+D4)*$D$1</f>
        <v>1902.6427999999999</v>
      </c>
      <c r="F4" s="39">
        <f>4000+9</f>
        <v>4009</v>
      </c>
      <c r="G4" s="70">
        <f>-E4+F4</f>
        <v>2106.3572000000004</v>
      </c>
    </row>
    <row r="5" spans="1:7" s="43" customFormat="1" ht="15">
      <c r="A5" s="41"/>
      <c r="B5" s="41"/>
      <c r="C5" s="41">
        <f>SUM(C4:C4)</f>
        <v>2.63</v>
      </c>
      <c r="D5" s="41">
        <v>12</v>
      </c>
      <c r="E5" s="41"/>
      <c r="F5" s="41"/>
      <c r="G5" s="41"/>
    </row>
    <row r="7" ht="31.5">
      <c r="A7" s="49"/>
    </row>
    <row r="8" ht="31.5">
      <c r="A8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41597</v>
      </c>
      <c r="C1" s="31" t="s">
        <v>252</v>
      </c>
      <c r="D1" s="48">
        <v>33.58</v>
      </c>
      <c r="E1" s="28" t="s">
        <v>253</v>
      </c>
    </row>
    <row r="2" s="28" customFormat="1" ht="15">
      <c r="A2" s="46" t="s">
        <v>376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340</v>
      </c>
      <c r="B4" s="11">
        <v>5.81</v>
      </c>
      <c r="C4" s="11">
        <v>0.49</v>
      </c>
      <c r="D4" s="9">
        <f>C4/$C$6*$D$6</f>
        <v>2.185873605947955</v>
      </c>
      <c r="E4" s="9">
        <f>(B4+D4)*$D$1</f>
        <v>268.5014356877323</v>
      </c>
      <c r="F4" s="39"/>
      <c r="G4" s="70">
        <f>-E4+F4</f>
        <v>-268.5014356877323</v>
      </c>
    </row>
    <row r="5" spans="1:7" s="35" customFormat="1" ht="15">
      <c r="A5" s="9" t="s">
        <v>260</v>
      </c>
      <c r="B5" s="40">
        <v>64.52</v>
      </c>
      <c r="C5" s="40">
        <v>2.2</v>
      </c>
      <c r="D5" s="9">
        <f>C5/$C$6*$D$6</f>
        <v>9.814126394052044</v>
      </c>
      <c r="E5" s="51"/>
      <c r="F5" s="52"/>
      <c r="G5" s="71"/>
    </row>
    <row r="6" spans="1:7" s="43" customFormat="1" ht="15">
      <c r="A6" s="41"/>
      <c r="B6" s="41"/>
      <c r="C6" s="41">
        <f>SUM(C4:C5)</f>
        <v>2.6900000000000004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41608</v>
      </c>
      <c r="C1" s="31" t="s">
        <v>252</v>
      </c>
      <c r="D1" s="48">
        <v>33.82</v>
      </c>
      <c r="E1" s="28" t="s">
        <v>253</v>
      </c>
    </row>
    <row r="2" s="28" customFormat="1" ht="15">
      <c r="A2" s="46" t="s">
        <v>377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340</v>
      </c>
      <c r="B4" s="11">
        <v>9.37</v>
      </c>
      <c r="C4" s="11">
        <v>0.56</v>
      </c>
      <c r="D4" s="9">
        <f aca="true" t="shared" si="0" ref="D4:D9">C4/$C$10*$D$10</f>
        <v>2.742857142857143</v>
      </c>
      <c r="E4" s="9">
        <f aca="true" t="shared" si="1" ref="E4:E9">(B4+D4)*$D$1</f>
        <v>409.6568285714285</v>
      </c>
      <c r="F4" s="39"/>
      <c r="G4" s="70">
        <f aca="true" t="shared" si="2" ref="G4:G9">-E4+F4</f>
        <v>-409.6568285714285</v>
      </c>
    </row>
    <row r="5" spans="1:7" s="35" customFormat="1" ht="15">
      <c r="A5" s="9" t="s">
        <v>63</v>
      </c>
      <c r="B5" s="11">
        <v>19.77</v>
      </c>
      <c r="C5" s="11">
        <v>0.17</v>
      </c>
      <c r="D5" s="9">
        <f t="shared" si="0"/>
        <v>0.8326530612244898</v>
      </c>
      <c r="E5" s="9">
        <f t="shared" si="1"/>
        <v>696.7817265306122</v>
      </c>
      <c r="F5" s="39">
        <v>700</v>
      </c>
      <c r="G5" s="70">
        <f t="shared" si="2"/>
        <v>3.218273469387782</v>
      </c>
    </row>
    <row r="6" spans="1:7" s="35" customFormat="1" ht="15">
      <c r="A6" s="9" t="s">
        <v>279</v>
      </c>
      <c r="B6" s="11">
        <v>12.45</v>
      </c>
      <c r="C6" s="11">
        <v>0.43</v>
      </c>
      <c r="D6" s="9">
        <f t="shared" si="0"/>
        <v>2.1061224489795918</v>
      </c>
      <c r="E6" s="9">
        <f t="shared" si="1"/>
        <v>492.2880612244898</v>
      </c>
      <c r="F6" s="39">
        <v>1160</v>
      </c>
      <c r="G6" s="70">
        <f t="shared" si="2"/>
        <v>667.7119387755101</v>
      </c>
    </row>
    <row r="7" spans="1:7" s="35" customFormat="1" ht="15">
      <c r="A7" s="9" t="s">
        <v>75</v>
      </c>
      <c r="B7">
        <v>10.08</v>
      </c>
      <c r="C7" s="28">
        <v>0.16</v>
      </c>
      <c r="D7" s="9">
        <f t="shared" si="0"/>
        <v>0.783673469387755</v>
      </c>
      <c r="E7" s="9">
        <f t="shared" si="1"/>
        <v>367.4094367346939</v>
      </c>
      <c r="F7" s="39">
        <v>368</v>
      </c>
      <c r="G7" s="70">
        <f t="shared" si="2"/>
        <v>0.5905632653061161</v>
      </c>
    </row>
    <row r="8" spans="1:7" s="35" customFormat="1" ht="15">
      <c r="A8" s="9" t="s">
        <v>268</v>
      </c>
      <c r="B8" s="11">
        <v>7.36</v>
      </c>
      <c r="C8" s="11">
        <v>0.32</v>
      </c>
      <c r="D8" s="9">
        <f t="shared" si="0"/>
        <v>1.56734693877551</v>
      </c>
      <c r="E8" s="9">
        <f t="shared" si="1"/>
        <v>301.92287346938775</v>
      </c>
      <c r="F8" s="39">
        <v>303</v>
      </c>
      <c r="G8" s="70">
        <f t="shared" si="2"/>
        <v>1.0771265306122473</v>
      </c>
    </row>
    <row r="9" spans="1:7" s="35" customFormat="1" ht="15">
      <c r="A9" s="9" t="s">
        <v>378</v>
      </c>
      <c r="B9" s="40">
        <v>37.59</v>
      </c>
      <c r="C9" s="64">
        <v>0.81</v>
      </c>
      <c r="D9" s="9">
        <f t="shared" si="0"/>
        <v>3.9673469387755107</v>
      </c>
      <c r="E9" s="9">
        <f t="shared" si="1"/>
        <v>1405.469473469388</v>
      </c>
      <c r="F9" s="39">
        <v>1399</v>
      </c>
      <c r="G9" s="70">
        <f t="shared" si="2"/>
        <v>-6.469473469388049</v>
      </c>
    </row>
    <row r="10" spans="1:7" s="43" customFormat="1" ht="15">
      <c r="A10" s="41"/>
      <c r="B10" s="41"/>
      <c r="C10" s="41">
        <f>SUM(C4:C9)</f>
        <v>2.45</v>
      </c>
      <c r="D10" s="41">
        <v>12</v>
      </c>
      <c r="E10" s="41"/>
      <c r="F10" s="41"/>
      <c r="G10" s="41"/>
    </row>
    <row r="12" ht="31.5">
      <c r="A12" s="49"/>
    </row>
    <row r="13" ht="31.5">
      <c r="A13" s="49"/>
    </row>
    <row r="15" ht="15">
      <c r="A15" s="72" t="s">
        <v>379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41608</v>
      </c>
      <c r="C1" s="31" t="s">
        <v>252</v>
      </c>
      <c r="D1" s="48">
        <v>33.82</v>
      </c>
      <c r="E1" s="28" t="s">
        <v>253</v>
      </c>
    </row>
    <row r="2" s="28" customFormat="1" ht="15">
      <c r="A2" s="46" t="s">
        <v>377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279</v>
      </c>
      <c r="B4" s="11">
        <v>14.12</v>
      </c>
      <c r="C4" s="11">
        <v>1.21</v>
      </c>
      <c r="D4" s="9">
        <f>C4/$C$6*$D$6</f>
        <v>5.5</v>
      </c>
      <c r="E4" s="9">
        <f>(B4+D4)*$D$1</f>
        <v>663.5483999999999</v>
      </c>
      <c r="F4" s="39"/>
      <c r="G4" s="70">
        <f>-E4+F4</f>
        <v>-663.5483999999999</v>
      </c>
    </row>
    <row r="5" spans="1:7" s="35" customFormat="1" ht="15">
      <c r="A5" s="9" t="s">
        <v>371</v>
      </c>
      <c r="B5" s="11">
        <v>76.88</v>
      </c>
      <c r="C5" s="11">
        <v>1.43</v>
      </c>
      <c r="D5" s="9">
        <f>C5/$C$6*$D$6</f>
        <v>6.500000000000001</v>
      </c>
      <c r="E5" s="9">
        <f>(B5+D5)*$D$1</f>
        <v>2819.9116</v>
      </c>
      <c r="F5" s="39">
        <v>3356</v>
      </c>
      <c r="G5" s="70">
        <f>-E5+F5</f>
        <v>536.0884000000001</v>
      </c>
    </row>
    <row r="6" spans="1:7" s="43" customFormat="1" ht="15">
      <c r="A6" s="41"/>
      <c r="B6" s="41"/>
      <c r="C6" s="41">
        <f>SUM(C4:C5)</f>
        <v>2.6399999999999997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41608</v>
      </c>
      <c r="C1" s="31" t="s">
        <v>252</v>
      </c>
      <c r="D1" s="48">
        <v>33.82</v>
      </c>
      <c r="E1" s="28" t="s">
        <v>253</v>
      </c>
    </row>
    <row r="2" s="28" customFormat="1" ht="15">
      <c r="A2" s="46" t="s">
        <v>377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371</v>
      </c>
      <c r="B4" s="11">
        <v>16.08</v>
      </c>
      <c r="C4" s="73">
        <v>0.26</v>
      </c>
      <c r="D4" s="9">
        <f>C4/$C$8*$D$8</f>
        <v>1.3866666666666667</v>
      </c>
      <c r="E4" s="9">
        <f>(B4+D4)*$D$1</f>
        <v>590.7226666666667</v>
      </c>
      <c r="F4" s="39"/>
      <c r="G4" s="70">
        <f>-E4+F4</f>
        <v>-590.7226666666667</v>
      </c>
    </row>
    <row r="5" spans="1:7" s="35" customFormat="1" ht="15">
      <c r="A5" s="9" t="s">
        <v>161</v>
      </c>
      <c r="B5" s="11">
        <f>29.99*0.8</f>
        <v>23.992</v>
      </c>
      <c r="C5" s="28">
        <v>1.02</v>
      </c>
      <c r="D5" s="9">
        <f>C5/$C$8*$D$8</f>
        <v>5.44</v>
      </c>
      <c r="E5" s="9">
        <f>(B5+D5)*$D$1</f>
        <v>995.3902400000001</v>
      </c>
      <c r="F5" s="39">
        <v>998</v>
      </c>
      <c r="G5" s="70">
        <f>-E5+F5</f>
        <v>2.6097599999999375</v>
      </c>
    </row>
    <row r="6" spans="1:7" s="35" customFormat="1" ht="15">
      <c r="A6" s="9" t="s">
        <v>380</v>
      </c>
      <c r="B6" s="40">
        <v>21.85</v>
      </c>
      <c r="C6" s="64">
        <v>0.86</v>
      </c>
      <c r="D6" s="9">
        <f>C6/$C$8*$D$8</f>
        <v>4.586666666666667</v>
      </c>
      <c r="E6" s="9">
        <f>(B6+D6)*$D$1</f>
        <v>894.0880666666667</v>
      </c>
      <c r="F6" s="39">
        <v>895</v>
      </c>
      <c r="G6" s="70">
        <f>-E6+F6</f>
        <v>0.9119333333333088</v>
      </c>
    </row>
    <row r="7" spans="1:7" s="35" customFormat="1" ht="15">
      <c r="A7" s="9" t="s">
        <v>260</v>
      </c>
      <c r="B7" s="40">
        <v>7.5</v>
      </c>
      <c r="C7" s="40">
        <v>0.11</v>
      </c>
      <c r="D7" s="9">
        <f>C7/$C$8*$D$8</f>
        <v>0.5866666666666667</v>
      </c>
      <c r="E7" s="51"/>
      <c r="F7" s="52"/>
      <c r="G7" s="71"/>
    </row>
    <row r="8" spans="1:7" s="43" customFormat="1" ht="15">
      <c r="A8" s="41"/>
      <c r="B8" s="41"/>
      <c r="C8" s="41">
        <f>SUM(C4:C7)</f>
        <v>2.25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  <row r="13" ht="15">
      <c r="A13" s="4" t="s">
        <v>381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41613</v>
      </c>
      <c r="C1" s="31" t="s">
        <v>252</v>
      </c>
      <c r="D1" s="48">
        <v>33.68</v>
      </c>
      <c r="E1" s="28" t="s">
        <v>253</v>
      </c>
    </row>
    <row r="2" s="28" customFormat="1" ht="15">
      <c r="A2" s="46" t="s">
        <v>382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100</v>
      </c>
      <c r="B4" s="11">
        <v>36.77</v>
      </c>
      <c r="C4" s="73">
        <v>0.44</v>
      </c>
      <c r="D4" s="9">
        <f>C4/$C$8*$D$8</f>
        <v>1.9701492537313432</v>
      </c>
      <c r="E4" s="9">
        <f>(B4+D4)*$D$1</f>
        <v>1304.7682268656717</v>
      </c>
      <c r="F4" s="39">
        <v>1265</v>
      </c>
      <c r="G4" s="70">
        <f>-E4+F4</f>
        <v>-39.76822686567175</v>
      </c>
    </row>
    <row r="5" spans="1:7" s="35" customFormat="1" ht="15">
      <c r="A5" s="9" t="s">
        <v>94</v>
      </c>
      <c r="B5" s="11">
        <v>9.18</v>
      </c>
      <c r="C5" s="28">
        <v>0.62</v>
      </c>
      <c r="D5" s="9">
        <f>C5/$C$8*$D$8</f>
        <v>2.776119402985074</v>
      </c>
      <c r="E5" s="9">
        <f>(B5+D5)*$D$1</f>
        <v>402.6821014925373</v>
      </c>
      <c r="F5" s="39">
        <v>404</v>
      </c>
      <c r="G5" s="70">
        <f>-E5+F5</f>
        <v>1.3178985074627008</v>
      </c>
    </row>
    <row r="6" spans="1:7" s="35" customFormat="1" ht="15">
      <c r="A6" s="9" t="s">
        <v>121</v>
      </c>
      <c r="B6" s="40">
        <v>31.64</v>
      </c>
      <c r="C6" s="64">
        <v>1</v>
      </c>
      <c r="D6" s="9">
        <f>C6/$C$8*$D$8</f>
        <v>4.477611940298507</v>
      </c>
      <c r="E6" s="9">
        <f>(B6+D6)*$D$1</f>
        <v>1216.4411701492538</v>
      </c>
      <c r="F6" s="39">
        <v>1222</v>
      </c>
      <c r="G6" s="70">
        <f>-E6+F6</f>
        <v>5.558829850746179</v>
      </c>
    </row>
    <row r="7" spans="1:7" s="35" customFormat="1" ht="15">
      <c r="A7" s="9" t="s">
        <v>260</v>
      </c>
      <c r="B7" s="40">
        <v>13.47</v>
      </c>
      <c r="C7" s="40">
        <v>0.62</v>
      </c>
      <c r="D7" s="9">
        <f>C7/$C$8*$D$8</f>
        <v>2.776119402985074</v>
      </c>
      <c r="E7" s="51"/>
      <c r="F7" s="52"/>
      <c r="G7" s="71"/>
    </row>
    <row r="8" spans="1:7" s="43" customFormat="1" ht="15">
      <c r="A8" s="41"/>
      <c r="B8" s="41"/>
      <c r="C8" s="41">
        <f>SUM(C4:C7)</f>
        <v>2.68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41613</v>
      </c>
      <c r="C1" s="31" t="s">
        <v>252</v>
      </c>
      <c r="D1" s="48">
        <v>33.68</v>
      </c>
      <c r="E1" s="28" t="s">
        <v>253</v>
      </c>
    </row>
    <row r="2" s="28" customFormat="1" ht="15">
      <c r="A2" s="46" t="s">
        <v>383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384</v>
      </c>
      <c r="B4" s="11">
        <v>21.41</v>
      </c>
      <c r="C4" s="73">
        <v>0.98</v>
      </c>
      <c r="D4" s="9">
        <f>C4/$C$6*$D$6</f>
        <v>4.47148288973384</v>
      </c>
      <c r="E4" s="9">
        <f>(B4+D4)*$D$1</f>
        <v>871.6883437262356</v>
      </c>
      <c r="F4" s="39">
        <v>873</v>
      </c>
      <c r="G4" s="70">
        <f>-E4+F4</f>
        <v>1.3116562737643562</v>
      </c>
    </row>
    <row r="5" spans="1:7" s="35" customFormat="1" ht="15">
      <c r="A5" s="9" t="s">
        <v>260</v>
      </c>
      <c r="B5" s="40">
        <v>56.21</v>
      </c>
      <c r="C5" s="40">
        <v>1.65</v>
      </c>
      <c r="D5" s="9">
        <f>C5/$C$6*$D$6</f>
        <v>7.52851711026616</v>
      </c>
      <c r="E5" s="51"/>
      <c r="F5" s="52"/>
      <c r="G5" s="71"/>
    </row>
    <row r="6" spans="1:7" s="43" customFormat="1" ht="15">
      <c r="A6" s="41"/>
      <c r="B6" s="41"/>
      <c r="C6" s="41">
        <f>SUM(C4:C5)</f>
        <v>2.63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41621</v>
      </c>
      <c r="C1" s="31" t="s">
        <v>252</v>
      </c>
      <c r="D1" s="48">
        <v>33.43</v>
      </c>
      <c r="E1" s="28" t="s">
        <v>253</v>
      </c>
    </row>
    <row r="2" s="28" customFormat="1" ht="15">
      <c r="A2" s="46" t="s">
        <v>385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75</v>
      </c>
      <c r="B4" s="11">
        <v>17.39</v>
      </c>
      <c r="C4" s="73">
        <v>0.57</v>
      </c>
      <c r="D4" s="9">
        <f aca="true" t="shared" si="0" ref="D4:D9">C4/$C$10*$D$10</f>
        <v>2.5704622322435178</v>
      </c>
      <c r="E4" s="9">
        <f>(B4+D4)*$D$1</f>
        <v>667.2782524239008</v>
      </c>
      <c r="F4" s="39">
        <v>667</v>
      </c>
      <c r="G4" s="70">
        <f>-E4+F4</f>
        <v>-0.2782524239007671</v>
      </c>
    </row>
    <row r="5" spans="1:7" s="35" customFormat="1" ht="15">
      <c r="A5" s="9" t="s">
        <v>386</v>
      </c>
      <c r="B5" s="11">
        <v>2.16</v>
      </c>
      <c r="C5" s="28">
        <v>0.11</v>
      </c>
      <c r="D5" s="9">
        <f t="shared" si="0"/>
        <v>0.4960541149943631</v>
      </c>
      <c r="E5" s="9">
        <f>(B5+D5)*$D$1</f>
        <v>88.79188906426155</v>
      </c>
      <c r="F5" s="39">
        <v>91</v>
      </c>
      <c r="G5" s="70">
        <f>-E5+F5</f>
        <v>2.2081109357384463</v>
      </c>
    </row>
    <row r="6" spans="1:7" s="35" customFormat="1" ht="15">
      <c r="A6" s="9" t="s">
        <v>38</v>
      </c>
      <c r="B6" s="11">
        <v>18.02</v>
      </c>
      <c r="C6" s="73">
        <v>0.891</v>
      </c>
      <c r="D6" s="9">
        <f t="shared" si="0"/>
        <v>4.018038331454341</v>
      </c>
      <c r="E6" s="9">
        <f>(B6+D6)*$D$1</f>
        <v>736.7316214205186</v>
      </c>
      <c r="F6" s="39">
        <v>737</v>
      </c>
      <c r="G6" s="70">
        <f>-E6+F6</f>
        <v>0.26837857948135024</v>
      </c>
    </row>
    <row r="7" spans="1:7" s="35" customFormat="1" ht="15">
      <c r="A7" s="9" t="s">
        <v>340</v>
      </c>
      <c r="B7" s="11">
        <v>9.65</v>
      </c>
      <c r="C7" s="73">
        <v>0.6</v>
      </c>
      <c r="D7" s="9">
        <f t="shared" si="0"/>
        <v>2.705749718151071</v>
      </c>
      <c r="E7" s="9">
        <f>(B7+D7)*$D$1</f>
        <v>413.05271307779026</v>
      </c>
      <c r="F7" s="39"/>
      <c r="G7" s="70">
        <f>-E7+F7</f>
        <v>-413.05271307779026</v>
      </c>
    </row>
    <row r="8" spans="1:7" s="35" customFormat="1" ht="15">
      <c r="A8" s="9" t="s">
        <v>154</v>
      </c>
      <c r="B8" s="11">
        <v>13.02</v>
      </c>
      <c r="C8" s="28">
        <v>0.38</v>
      </c>
      <c r="D8" s="9">
        <f t="shared" si="0"/>
        <v>1.7136414881623454</v>
      </c>
      <c r="E8" s="9">
        <f>(B8+D8)*$D$1</f>
        <v>492.5456349492672</v>
      </c>
      <c r="F8" s="39">
        <v>493</v>
      </c>
      <c r="G8" s="70">
        <f>-E8+F8</f>
        <v>0.45436505073280387</v>
      </c>
    </row>
    <row r="9" spans="1:7" s="35" customFormat="1" ht="15">
      <c r="A9" s="9" t="s">
        <v>260</v>
      </c>
      <c r="B9" s="40">
        <v>12.6</v>
      </c>
      <c r="C9" s="40">
        <v>0.11</v>
      </c>
      <c r="D9" s="9">
        <f t="shared" si="0"/>
        <v>0.4960541149943631</v>
      </c>
      <c r="E9" s="51"/>
      <c r="F9" s="52"/>
      <c r="G9" s="71"/>
    </row>
    <row r="10" spans="1:7" s="43" customFormat="1" ht="15">
      <c r="A10" s="41"/>
      <c r="B10" s="41"/>
      <c r="C10" s="41">
        <f>SUM(C4:C9)</f>
        <v>2.6609999999999996</v>
      </c>
      <c r="D10" s="41">
        <v>12</v>
      </c>
      <c r="E10" s="41"/>
      <c r="F10" s="41"/>
      <c r="G10" s="41"/>
    </row>
    <row r="12" ht="31.5">
      <c r="A12" s="49"/>
    </row>
    <row r="13" ht="31.5">
      <c r="A13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41621</v>
      </c>
      <c r="C1" s="31" t="s">
        <v>252</v>
      </c>
      <c r="D1" s="48">
        <v>33.43</v>
      </c>
      <c r="E1" s="28" t="s">
        <v>253</v>
      </c>
    </row>
    <row r="2" s="28" customFormat="1" ht="15">
      <c r="A2" s="46" t="s">
        <v>385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340</v>
      </c>
      <c r="B4" s="11">
        <v>19</v>
      </c>
      <c r="C4" s="73">
        <v>0.94</v>
      </c>
      <c r="D4" s="9">
        <f>C4/$C$6*$D$6</f>
        <v>4.305343511450381</v>
      </c>
      <c r="E4" s="9">
        <f>(B4+D4)*$D$1</f>
        <v>779.0976335877863</v>
      </c>
      <c r="F4" s="39">
        <v>971</v>
      </c>
      <c r="G4" s="70">
        <f>-E4+F4</f>
        <v>191.90236641221372</v>
      </c>
    </row>
    <row r="5" spans="1:7" s="35" customFormat="1" ht="15">
      <c r="A5" s="9" t="s">
        <v>245</v>
      </c>
      <c r="B5" s="11">
        <v>55</v>
      </c>
      <c r="C5" s="28">
        <v>1.68</v>
      </c>
      <c r="D5" s="9">
        <f>C5/$C$6*$D$6</f>
        <v>7.694656488549618</v>
      </c>
      <c r="E5" s="9">
        <f>(B5+D5)*$D$1</f>
        <v>2095.8823664122137</v>
      </c>
      <c r="F5" s="39">
        <v>2096</v>
      </c>
      <c r="G5" s="70">
        <f>-E5+F5</f>
        <v>0.11763358778625843</v>
      </c>
    </row>
    <row r="6" spans="1:7" s="43" customFormat="1" ht="15">
      <c r="A6" s="41"/>
      <c r="B6" s="41"/>
      <c r="C6" s="41">
        <f>SUM(C4:C5)</f>
        <v>2.62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41626</v>
      </c>
      <c r="C1" s="31" t="s">
        <v>252</v>
      </c>
      <c r="D1" s="48">
        <v>33.52</v>
      </c>
      <c r="E1" s="28" t="s">
        <v>253</v>
      </c>
    </row>
    <row r="2" s="28" customFormat="1" ht="15">
      <c r="A2" s="46" t="s">
        <v>387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149</v>
      </c>
      <c r="B4" s="11">
        <v>9.91</v>
      </c>
      <c r="C4" s="73">
        <v>0.57</v>
      </c>
      <c r="D4" s="9">
        <f>C4/$C$8*$D$8</f>
        <v>2.533333333333333</v>
      </c>
      <c r="E4" s="9">
        <f>(B4+D4)*$D$1</f>
        <v>417.1005333333334</v>
      </c>
      <c r="F4" s="39">
        <v>418</v>
      </c>
      <c r="G4" s="70">
        <f>-E4+F4</f>
        <v>0.8994666666666262</v>
      </c>
    </row>
    <row r="5" spans="1:7" s="35" customFormat="1" ht="15">
      <c r="A5" s="9" t="s">
        <v>131</v>
      </c>
      <c r="B5" s="11">
        <v>29.4</v>
      </c>
      <c r="C5" s="28">
        <v>0.89</v>
      </c>
      <c r="D5" s="9">
        <f>C5/$C$8*$D$8</f>
        <v>3.9555555555555557</v>
      </c>
      <c r="E5" s="9">
        <f>(B5+D5)*$D$1</f>
        <v>1118.0782222222224</v>
      </c>
      <c r="F5" s="39">
        <f>970+133</f>
        <v>1103</v>
      </c>
      <c r="G5" s="70">
        <f>-E5+F5</f>
        <v>-15.078222222222394</v>
      </c>
    </row>
    <row r="6" spans="1:7" s="35" customFormat="1" ht="15">
      <c r="A6" s="9" t="s">
        <v>371</v>
      </c>
      <c r="B6" s="40">
        <v>45.96</v>
      </c>
      <c r="C6" s="64">
        <v>1.05</v>
      </c>
      <c r="D6" s="9">
        <f>C6/$C$8*$D$8</f>
        <v>4.666666666666668</v>
      </c>
      <c r="E6" s="9">
        <f>(B6+D6)*$D$1</f>
        <v>1697.0058666666669</v>
      </c>
      <c r="F6" s="39">
        <v>1698</v>
      </c>
      <c r="G6" s="70">
        <f>-E6+F6</f>
        <v>0.9941333333331386</v>
      </c>
    </row>
    <row r="7" spans="1:7" s="35" customFormat="1" ht="15">
      <c r="A7" s="9" t="s">
        <v>260</v>
      </c>
      <c r="B7" s="40">
        <v>3.37</v>
      </c>
      <c r="C7" s="40">
        <v>0.19</v>
      </c>
      <c r="D7" s="9">
        <f>C7/$C$8*$D$8</f>
        <v>0.8444444444444446</v>
      </c>
      <c r="E7" s="51"/>
      <c r="F7" s="52"/>
      <c r="G7" s="71"/>
    </row>
    <row r="8" spans="1:7" s="43" customFormat="1" ht="15">
      <c r="A8" s="41"/>
      <c r="B8" s="41"/>
      <c r="C8" s="41">
        <f>SUM(C4:C7)</f>
        <v>2.6999999999999997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H6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41207</v>
      </c>
      <c r="C1" s="31" t="s">
        <v>252</v>
      </c>
      <c r="D1" s="32">
        <v>31.48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152</v>
      </c>
      <c r="B4" s="9">
        <v>17.68</v>
      </c>
      <c r="C4" s="9">
        <v>2.38</v>
      </c>
      <c r="D4" s="9">
        <f>C4/$C$6*$D$6</f>
        <v>6.14760147601476</v>
      </c>
      <c r="E4" s="9">
        <f>(B4+D4)*$D$1</f>
        <v>750.0928944649446</v>
      </c>
      <c r="F4" s="39">
        <v>707</v>
      </c>
      <c r="G4" s="39">
        <f>-E4+F4</f>
        <v>-43.09289446494461</v>
      </c>
    </row>
    <row r="5" spans="1:8" ht="15">
      <c r="A5" s="13" t="s">
        <v>272</v>
      </c>
      <c r="B5" s="9">
        <v>40.07</v>
      </c>
      <c r="C5" s="9">
        <v>0.33</v>
      </c>
      <c r="D5" s="9">
        <f>C5/$C$6*$D$6</f>
        <v>0.8523985239852399</v>
      </c>
      <c r="E5" s="9">
        <f>(B5+D5)*$D$1</f>
        <v>1288.2371055350552</v>
      </c>
      <c r="F5" s="39">
        <v>1288</v>
      </c>
      <c r="G5" s="39">
        <f>-E5+F5</f>
        <v>-0.23710553505520693</v>
      </c>
      <c r="H5" s="44" t="s">
        <v>273</v>
      </c>
    </row>
    <row r="6" spans="1:7" ht="15">
      <c r="A6" s="36"/>
      <c r="B6" s="36"/>
      <c r="C6" s="36">
        <f>SUM(C4:C5)</f>
        <v>2.71</v>
      </c>
      <c r="D6" s="36">
        <v>7</v>
      </c>
      <c r="E6" s="36"/>
      <c r="F6" s="11"/>
      <c r="G6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41626</v>
      </c>
      <c r="C1" s="31" t="s">
        <v>252</v>
      </c>
      <c r="D1" s="48">
        <v>33.52</v>
      </c>
      <c r="E1" s="28" t="s">
        <v>253</v>
      </c>
    </row>
    <row r="2" s="28" customFormat="1" ht="15">
      <c r="A2" s="46" t="s">
        <v>387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266</v>
      </c>
      <c r="B4" s="11">
        <v>8.67</v>
      </c>
      <c r="C4" s="73">
        <v>0.08</v>
      </c>
      <c r="D4" s="9">
        <f>C4/$C$7*$D$7</f>
        <v>0.367816091954023</v>
      </c>
      <c r="E4" s="9">
        <f>(B4+D4)*$D$1</f>
        <v>302.9475954022989</v>
      </c>
      <c r="F4" s="39">
        <v>304</v>
      </c>
      <c r="G4" s="70">
        <f>-E4+F4</f>
        <v>1.052404597701127</v>
      </c>
    </row>
    <row r="5" spans="1:7" s="35" customFormat="1" ht="15">
      <c r="A5" s="9" t="s">
        <v>185</v>
      </c>
      <c r="B5" s="11">
        <v>8.68</v>
      </c>
      <c r="C5" s="28">
        <v>0.11</v>
      </c>
      <c r="D5" s="9">
        <f>C5/$C$7*$D$7</f>
        <v>0.5057471264367817</v>
      </c>
      <c r="E5" s="9">
        <f>(B5+D5)*$D$1</f>
        <v>307.906243678161</v>
      </c>
      <c r="F5" s="39">
        <v>309</v>
      </c>
      <c r="G5" s="70">
        <f>-E5+F5</f>
        <v>1.0937563218390096</v>
      </c>
    </row>
    <row r="6" spans="1:7" s="35" customFormat="1" ht="15">
      <c r="A6" s="9" t="s">
        <v>260</v>
      </c>
      <c r="B6" s="40">
        <v>66.89</v>
      </c>
      <c r="C6" s="40">
        <v>2.42</v>
      </c>
      <c r="D6" s="9">
        <f>C6/$C$7*$D$7</f>
        <v>11.126436781609197</v>
      </c>
      <c r="E6" s="51"/>
      <c r="F6" s="52"/>
      <c r="G6" s="71"/>
    </row>
    <row r="7" spans="1:7" s="43" customFormat="1" ht="15">
      <c r="A7" s="41"/>
      <c r="B7" s="41"/>
      <c r="C7" s="41">
        <f>SUM(C4:C6)</f>
        <v>2.61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406886</v>
      </c>
      <c r="C1" s="31" t="s">
        <v>252</v>
      </c>
      <c r="D1" s="48">
        <v>33.22</v>
      </c>
      <c r="E1" s="28" t="s">
        <v>253</v>
      </c>
    </row>
    <row r="2" s="28" customFormat="1" ht="15">
      <c r="A2" s="46" t="s">
        <v>388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38</v>
      </c>
      <c r="B4" s="11">
        <v>2.77</v>
      </c>
      <c r="C4" s="11">
        <v>0.03</v>
      </c>
      <c r="D4" s="9">
        <f>C4/$C$9*$D$9</f>
        <v>0.14173228346456693</v>
      </c>
      <c r="E4" s="9">
        <f>(B4+D4)*$D$1</f>
        <v>96.72774645669291</v>
      </c>
      <c r="F4" s="39">
        <v>97</v>
      </c>
      <c r="G4" s="70">
        <f>-E4+F4</f>
        <v>0.2722535433070874</v>
      </c>
    </row>
    <row r="5" spans="1:7" s="35" customFormat="1" ht="15">
      <c r="A5" s="9" t="s">
        <v>268</v>
      </c>
      <c r="B5" s="11">
        <v>20.91</v>
      </c>
      <c r="C5" s="11">
        <v>0.78</v>
      </c>
      <c r="D5" s="9">
        <f>C5/$C$9*$D$9</f>
        <v>3.6850393700787403</v>
      </c>
      <c r="E5" s="9">
        <f>(B5+D5)*$D$1</f>
        <v>817.0472078740157</v>
      </c>
      <c r="F5" s="39">
        <v>821</v>
      </c>
      <c r="G5" s="70">
        <f>-E5+F5</f>
        <v>3.952792125984274</v>
      </c>
    </row>
    <row r="6" spans="1:7" s="35" customFormat="1" ht="15">
      <c r="A6" s="9" t="s">
        <v>25</v>
      </c>
      <c r="B6" s="11">
        <v>37.71</v>
      </c>
      <c r="C6" s="11">
        <v>1.23</v>
      </c>
      <c r="D6" s="9">
        <f>C6/$C$9*$D$9</f>
        <v>5.8110236220472435</v>
      </c>
      <c r="E6" s="9">
        <f>(B6+D6)*$D$1</f>
        <v>1445.7684047244095</v>
      </c>
      <c r="F6" s="39">
        <v>1450</v>
      </c>
      <c r="G6" s="70">
        <f>-E6+F6</f>
        <v>4.231595275590507</v>
      </c>
    </row>
    <row r="7" spans="1:7" s="35" customFormat="1" ht="15">
      <c r="A7" s="9" t="s">
        <v>236</v>
      </c>
      <c r="B7" s="11">
        <v>8.08</v>
      </c>
      <c r="C7" s="11">
        <v>0.12</v>
      </c>
      <c r="D7" s="9">
        <f>C7/$C$9*$D$9</f>
        <v>0.5669291338582677</v>
      </c>
      <c r="E7" s="9">
        <f>(B7+D7)*$D$1</f>
        <v>287.2509858267717</v>
      </c>
      <c r="F7" s="39">
        <v>289</v>
      </c>
      <c r="G7" s="70">
        <f>-E7+F7</f>
        <v>1.7490141732283178</v>
      </c>
    </row>
    <row r="8" spans="1:7" s="35" customFormat="1" ht="15">
      <c r="A8" s="9" t="s">
        <v>113</v>
      </c>
      <c r="B8" s="11">
        <v>26.99</v>
      </c>
      <c r="C8" s="11">
        <v>0.38</v>
      </c>
      <c r="D8" s="9">
        <f>C8/$C$9*$D$9</f>
        <v>1.7952755905511812</v>
      </c>
      <c r="E8" s="9">
        <f>(B8+D8)*$D$1</f>
        <v>956.2468551181101</v>
      </c>
      <c r="F8" s="39">
        <f>259+700</f>
        <v>959</v>
      </c>
      <c r="G8" s="70">
        <f>-E8+F8</f>
        <v>2.7531448818898525</v>
      </c>
    </row>
    <row r="9" spans="1:7" s="43" customFormat="1" ht="15">
      <c r="A9" s="41"/>
      <c r="B9" s="41"/>
      <c r="C9" s="41">
        <f>SUM(C4:C8)</f>
        <v>2.54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406886</v>
      </c>
      <c r="C1" s="31" t="s">
        <v>252</v>
      </c>
      <c r="D1" s="48">
        <v>33.22</v>
      </c>
      <c r="E1" s="28" t="s">
        <v>253</v>
      </c>
    </row>
    <row r="2" s="28" customFormat="1" ht="15">
      <c r="A2" s="46" t="s">
        <v>388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141</v>
      </c>
      <c r="B4" s="11">
        <v>42.42</v>
      </c>
      <c r="C4" s="11">
        <v>0.82</v>
      </c>
      <c r="D4" s="9">
        <f>C4/$C$8*$D$8</f>
        <v>3.6702722864602757</v>
      </c>
      <c r="E4" s="9">
        <f>(B4+D4)*$D$1</f>
        <v>1531.1188453562104</v>
      </c>
      <c r="F4" s="39">
        <v>1531</v>
      </c>
      <c r="G4" s="70">
        <f>-E4+F4</f>
        <v>-0.11884535621038594</v>
      </c>
    </row>
    <row r="5" spans="1:7" s="35" customFormat="1" ht="15">
      <c r="A5" s="9" t="s">
        <v>22</v>
      </c>
      <c r="B5" s="11">
        <v>15.68</v>
      </c>
      <c r="C5" s="11">
        <v>0.591</v>
      </c>
      <c r="D5" s="9">
        <f>C5/$C$8*$D$8</f>
        <v>2.6452816113390525</v>
      </c>
      <c r="E5" s="9">
        <f>(B5+D5)*$D$1</f>
        <v>608.7658551286833</v>
      </c>
      <c r="F5" s="39">
        <v>610</v>
      </c>
      <c r="G5" s="70">
        <f>-E5+F5</f>
        <v>1.2341448713167438</v>
      </c>
    </row>
    <row r="6" spans="1:7" s="35" customFormat="1" ht="15">
      <c r="A6" s="9" t="s">
        <v>156</v>
      </c>
      <c r="B6" s="11">
        <v>25.9</v>
      </c>
      <c r="C6" s="11">
        <v>0.32</v>
      </c>
      <c r="D6" s="9">
        <f>C6/$C$8*$D$8</f>
        <v>1.432301380082059</v>
      </c>
      <c r="E6" s="9">
        <f>(B6+D6)*$D$1</f>
        <v>907.9790518463259</v>
      </c>
      <c r="F6" s="39"/>
      <c r="G6" s="70">
        <f>-E6+F6</f>
        <v>-907.9790518463259</v>
      </c>
    </row>
    <row r="7" spans="1:7" s="35" customFormat="1" ht="15">
      <c r="A7" s="9" t="s">
        <v>260</v>
      </c>
      <c r="B7" s="40">
        <v>15.6</v>
      </c>
      <c r="C7" s="40">
        <v>0.95</v>
      </c>
      <c r="D7" s="9">
        <f>C7/$C$8*$D$8</f>
        <v>4.252144722118612</v>
      </c>
      <c r="E7" s="51"/>
      <c r="F7" s="52"/>
      <c r="G7" s="71"/>
    </row>
    <row r="8" spans="1:7" s="43" customFormat="1" ht="15">
      <c r="A8" s="41"/>
      <c r="B8" s="41"/>
      <c r="C8" s="41">
        <f>SUM(C4:C7)</f>
        <v>2.681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406886</v>
      </c>
      <c r="C1" s="31" t="s">
        <v>252</v>
      </c>
      <c r="D1" s="48">
        <v>33.22</v>
      </c>
      <c r="E1" s="28" t="s">
        <v>253</v>
      </c>
    </row>
    <row r="2" s="28" customFormat="1" ht="15">
      <c r="A2" s="46" t="s">
        <v>388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156</v>
      </c>
      <c r="B4" s="11">
        <v>87.79</v>
      </c>
      <c r="C4" s="11">
        <v>1.82</v>
      </c>
      <c r="D4" s="9">
        <f>C4/$C$6*$D$6</f>
        <v>8.304182509505704</v>
      </c>
      <c r="E4" s="9">
        <f>(B4+D4)*$D$1</f>
        <v>3192.24874296578</v>
      </c>
      <c r="F4" s="39"/>
      <c r="G4" s="70">
        <f>-E4+F4</f>
        <v>-3192.24874296578</v>
      </c>
    </row>
    <row r="5" spans="1:7" s="35" customFormat="1" ht="15">
      <c r="A5" s="9" t="s">
        <v>260</v>
      </c>
      <c r="B5" s="40">
        <v>11.14</v>
      </c>
      <c r="C5" s="40">
        <v>0.81</v>
      </c>
      <c r="D5" s="9">
        <f>C5/$C$6*$D$6</f>
        <v>3.6958174904942966</v>
      </c>
      <c r="E5" s="51"/>
      <c r="F5" s="52"/>
      <c r="G5" s="71"/>
    </row>
    <row r="6" spans="1:7" s="43" customFormat="1" ht="15">
      <c r="A6" s="41"/>
      <c r="B6" s="41"/>
      <c r="C6" s="41">
        <f>SUM(C4:C5)</f>
        <v>2.63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406886</v>
      </c>
      <c r="C1" s="31" t="s">
        <v>252</v>
      </c>
      <c r="D1" s="48">
        <v>33.22</v>
      </c>
      <c r="E1" s="28" t="s">
        <v>253</v>
      </c>
    </row>
    <row r="2" s="28" customFormat="1" ht="15">
      <c r="A2" s="46" t="s">
        <v>388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156</v>
      </c>
      <c r="B4" s="11">
        <v>98.07</v>
      </c>
      <c r="C4" s="11">
        <v>2.65</v>
      </c>
      <c r="D4" s="9">
        <f>C4/$C$5*$D$5</f>
        <v>12</v>
      </c>
      <c r="E4" s="9">
        <f>(B4+D4)*$D$1</f>
        <v>3656.5253999999995</v>
      </c>
      <c r="F4" s="39"/>
      <c r="G4" s="70">
        <f>-E4+F4</f>
        <v>-3656.5253999999995</v>
      </c>
    </row>
    <row r="5" spans="1:7" s="43" customFormat="1" ht="15">
      <c r="A5" s="41"/>
      <c r="B5" s="41"/>
      <c r="C5" s="41">
        <f>SUM(C4:C4)</f>
        <v>2.65</v>
      </c>
      <c r="D5" s="41">
        <v>12</v>
      </c>
      <c r="E5" s="41"/>
      <c r="F5" s="41"/>
      <c r="G5" s="41"/>
    </row>
    <row r="7" ht="31.5">
      <c r="A7" s="49"/>
    </row>
    <row r="8" ht="31.5">
      <c r="A8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406886</v>
      </c>
      <c r="C1" s="31" t="s">
        <v>252</v>
      </c>
      <c r="D1" s="48">
        <v>33.22</v>
      </c>
      <c r="E1" s="28" t="s">
        <v>253</v>
      </c>
    </row>
    <row r="2" s="28" customFormat="1" ht="15">
      <c r="A2" s="46" t="s">
        <v>388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161</v>
      </c>
      <c r="B4" s="11">
        <v>51.38</v>
      </c>
      <c r="C4" s="11">
        <v>1.62</v>
      </c>
      <c r="D4" s="9">
        <f>C4/$C$7*$D$7</f>
        <v>7.335849056603775</v>
      </c>
      <c r="E4" s="9">
        <f>(B4+D4)*$D$1</f>
        <v>1950.5405056603774</v>
      </c>
      <c r="F4" s="39">
        <v>1955</v>
      </c>
      <c r="G4" s="70">
        <f>-E4+F4</f>
        <v>4.459494339622552</v>
      </c>
    </row>
    <row r="5" spans="1:7" s="35" customFormat="1" ht="15">
      <c r="A5" s="9" t="s">
        <v>154</v>
      </c>
      <c r="B5" s="11">
        <v>3.37</v>
      </c>
      <c r="C5" s="11">
        <v>0.19</v>
      </c>
      <c r="D5" s="9">
        <f>C5/$C$7*$D$7</f>
        <v>0.8603773584905661</v>
      </c>
      <c r="E5" s="9">
        <f>(B5+D5)*$D$1</f>
        <v>140.5331358490566</v>
      </c>
      <c r="F5" s="39"/>
      <c r="G5" s="70">
        <f>-E5+F5</f>
        <v>-140.5331358490566</v>
      </c>
    </row>
    <row r="6" spans="1:7" s="35" customFormat="1" ht="15">
      <c r="A6" s="9" t="s">
        <v>156</v>
      </c>
      <c r="B6" s="11">
        <v>42.94</v>
      </c>
      <c r="C6" s="11">
        <v>0.84</v>
      </c>
      <c r="D6" s="9">
        <f>C6/$C$7*$D$7</f>
        <v>3.8037735849056604</v>
      </c>
      <c r="E6" s="9">
        <f>(B6+D6)*$D$1</f>
        <v>1552.828158490566</v>
      </c>
      <c r="F6" s="39"/>
      <c r="G6" s="70">
        <f>-E6+F6</f>
        <v>-1552.828158490566</v>
      </c>
    </row>
    <row r="7" spans="1:7" s="43" customFormat="1" ht="15">
      <c r="A7" s="41"/>
      <c r="B7" s="41"/>
      <c r="C7" s="41">
        <f>SUM(C4:C6)</f>
        <v>2.65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406886</v>
      </c>
      <c r="C1" s="31" t="s">
        <v>252</v>
      </c>
      <c r="D1" s="48">
        <v>33.22</v>
      </c>
      <c r="E1" s="28" t="s">
        <v>253</v>
      </c>
    </row>
    <row r="2" s="28" customFormat="1" ht="15">
      <c r="A2" s="46" t="s">
        <v>388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156</v>
      </c>
      <c r="B4" s="11">
        <v>65.98</v>
      </c>
      <c r="C4" s="11">
        <v>0.86</v>
      </c>
      <c r="D4" s="9">
        <f>C4/$C$6*$D$6</f>
        <v>3.9845559845559846</v>
      </c>
      <c r="E4" s="9">
        <f>(B4+D4)*$D$1</f>
        <v>2324.2225498069497</v>
      </c>
      <c r="F4" s="39"/>
      <c r="G4" s="70">
        <f>-E4+F4</f>
        <v>-2324.2225498069497</v>
      </c>
    </row>
    <row r="5" spans="1:7" s="35" customFormat="1" ht="15">
      <c r="A5" s="9" t="s">
        <v>260</v>
      </c>
      <c r="B5" s="40">
        <v>30.8</v>
      </c>
      <c r="C5" s="40">
        <v>1.73</v>
      </c>
      <c r="D5" s="9">
        <f>C5/$C$6*$D$6</f>
        <v>8.015444015444015</v>
      </c>
      <c r="E5" s="51"/>
      <c r="F5" s="52"/>
      <c r="G5" s="71"/>
    </row>
    <row r="6" spans="1:7" s="43" customFormat="1" ht="15">
      <c r="A6" s="41"/>
      <c r="B6" s="41"/>
      <c r="C6" s="41">
        <f>SUM(C4:C5)</f>
        <v>2.59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406886</v>
      </c>
      <c r="C1" s="31" t="s">
        <v>252</v>
      </c>
      <c r="D1" s="48">
        <v>33.22</v>
      </c>
      <c r="E1" s="28" t="s">
        <v>253</v>
      </c>
    </row>
    <row r="2" s="28" customFormat="1" ht="15">
      <c r="A2" s="46" t="s">
        <v>388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156</v>
      </c>
      <c r="B4" s="11">
        <v>83.92</v>
      </c>
      <c r="C4" s="11">
        <v>0.38</v>
      </c>
      <c r="D4" s="9">
        <f>C4/$C$6*$D$6</f>
        <v>2.6666666666666665</v>
      </c>
      <c r="E4" s="39">
        <f>(B4+D4)*$D$1</f>
        <v>2876.4090666666666</v>
      </c>
      <c r="F4" s="39">
        <v>12459</v>
      </c>
      <c r="G4" s="70">
        <f>-E4+F4</f>
        <v>9582.590933333333</v>
      </c>
    </row>
    <row r="5" spans="1:7" s="35" customFormat="1" ht="15">
      <c r="A5" s="9" t="s">
        <v>260</v>
      </c>
      <c r="B5" s="40">
        <v>13.14</v>
      </c>
      <c r="C5" s="40">
        <v>0.76</v>
      </c>
      <c r="D5" s="9">
        <f>C5/$C$6*$D$6</f>
        <v>5.333333333333333</v>
      </c>
      <c r="E5" s="51"/>
      <c r="F5" s="52"/>
      <c r="G5" s="71"/>
    </row>
    <row r="6" spans="1:7" s="43" customFormat="1" ht="15">
      <c r="A6" s="41"/>
      <c r="B6" s="41"/>
      <c r="C6" s="41">
        <f>SUM(C4:C5)</f>
        <v>1.1400000000000001</v>
      </c>
      <c r="D6" s="41">
        <v>8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406886</v>
      </c>
      <c r="C1" s="31" t="s">
        <v>252</v>
      </c>
      <c r="D1" s="48">
        <v>33.22</v>
      </c>
      <c r="E1" s="28" t="s">
        <v>253</v>
      </c>
    </row>
    <row r="2" s="28" customFormat="1" ht="15">
      <c r="A2" s="46" t="s">
        <v>388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156</v>
      </c>
      <c r="B4" s="11">
        <v>97.84</v>
      </c>
      <c r="C4" s="11">
        <v>0.59</v>
      </c>
      <c r="D4" s="9">
        <f>C4/$C$5*$D$5</f>
        <v>8</v>
      </c>
      <c r="E4" s="9">
        <f>(B4+D4)*$D$1</f>
        <v>3516.0048</v>
      </c>
      <c r="F4" s="39">
        <v>5617</v>
      </c>
      <c r="G4" s="70">
        <f>-E4+F4</f>
        <v>2100.9952</v>
      </c>
    </row>
    <row r="5" spans="1:7" s="43" customFormat="1" ht="15">
      <c r="A5" s="41"/>
      <c r="B5" s="41"/>
      <c r="C5" s="41">
        <f>SUM(C4:C4)</f>
        <v>0.59</v>
      </c>
      <c r="D5" s="41">
        <v>8</v>
      </c>
      <c r="E5" s="41"/>
      <c r="F5" s="41"/>
      <c r="G5" s="41"/>
    </row>
    <row r="7" ht="31.5">
      <c r="A7" s="49"/>
    </row>
    <row r="8" ht="31.5">
      <c r="A8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406886</v>
      </c>
      <c r="C1" s="31" t="s">
        <v>252</v>
      </c>
      <c r="D1" s="48">
        <v>33.22</v>
      </c>
      <c r="E1" s="28" t="s">
        <v>253</v>
      </c>
    </row>
    <row r="2" s="28" customFormat="1" ht="15">
      <c r="A2" s="46" t="s">
        <v>389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154</v>
      </c>
      <c r="B4" s="40">
        <v>5.79</v>
      </c>
      <c r="C4" s="40">
        <v>0.11</v>
      </c>
      <c r="D4" s="9">
        <f>C4/$C$8*$D$8</f>
        <v>0.48708487084870844</v>
      </c>
      <c r="E4" s="9">
        <f>(B4+D4)*$D$1</f>
        <v>208.52475940959408</v>
      </c>
      <c r="F4" s="39">
        <v>344</v>
      </c>
      <c r="G4" s="70">
        <f>-E4+F4</f>
        <v>135.47524059040592</v>
      </c>
    </row>
    <row r="5" spans="1:7" s="35" customFormat="1" ht="15">
      <c r="A5" s="9" t="s">
        <v>212</v>
      </c>
      <c r="B5" s="11">
        <v>24.74</v>
      </c>
      <c r="C5" s="11">
        <v>0.49</v>
      </c>
      <c r="D5" s="9">
        <f>C5/$C$8*$D$8</f>
        <v>2.169741697416974</v>
      </c>
      <c r="E5" s="9">
        <f>(B5+D5)*$D$1</f>
        <v>893.9416191881918</v>
      </c>
      <c r="F5" s="39">
        <v>896</v>
      </c>
      <c r="G5" s="70">
        <f>-E5+F5</f>
        <v>2.058380811808206</v>
      </c>
    </row>
    <row r="6" spans="1:7" s="35" customFormat="1" ht="15">
      <c r="A6" s="9" t="s">
        <v>57</v>
      </c>
      <c r="B6" s="11">
        <v>39.38</v>
      </c>
      <c r="C6" s="11">
        <v>1.13</v>
      </c>
      <c r="D6" s="9">
        <f>C6/$C$8*$D$8</f>
        <v>5.003690036900369</v>
      </c>
      <c r="E6" s="9">
        <f>(B6+D6)*$D$1</f>
        <v>1474.4261830258301</v>
      </c>
      <c r="F6" s="39">
        <f>979+500</f>
        <v>1479</v>
      </c>
      <c r="G6" s="70">
        <f>-E6+F6</f>
        <v>4.573816974169858</v>
      </c>
    </row>
    <row r="7" spans="1:7" s="35" customFormat="1" ht="15">
      <c r="A7" s="9" t="s">
        <v>260</v>
      </c>
      <c r="B7" s="40">
        <v>28.41</v>
      </c>
      <c r="C7" s="40">
        <v>0.98</v>
      </c>
      <c r="D7" s="9">
        <f>C7/$C$8*$D$8</f>
        <v>4.339483394833948</v>
      </c>
      <c r="E7" s="51"/>
      <c r="F7" s="52"/>
      <c r="G7" s="71"/>
    </row>
    <row r="8" spans="1:7" s="43" customFormat="1" ht="15">
      <c r="A8" s="41"/>
      <c r="B8" s="41"/>
      <c r="C8" s="41">
        <f>SUM(C4:C7)</f>
        <v>2.71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G7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41219</v>
      </c>
      <c r="C1" s="31" t="s">
        <v>252</v>
      </c>
      <c r="D1" s="32">
        <f>31.30331</f>
        <v>31.30331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152</v>
      </c>
      <c r="B4" s="9">
        <v>32.84</v>
      </c>
      <c r="C4" s="9">
        <v>1.05</v>
      </c>
      <c r="D4" s="9">
        <f>C4/$C$7*$D$7</f>
        <v>2.7222222222222223</v>
      </c>
      <c r="E4" s="9">
        <f>(B4+D4)*$D$1</f>
        <v>1113.2152665111112</v>
      </c>
      <c r="F4" s="39">
        <f>841+316</f>
        <v>1157</v>
      </c>
      <c r="G4" s="39">
        <f>-E4+F4</f>
        <v>43.78473348888883</v>
      </c>
    </row>
    <row r="5" spans="1:7" s="35" customFormat="1" ht="15">
      <c r="A5" s="9" t="s">
        <v>56</v>
      </c>
      <c r="B5" s="9">
        <v>19.73</v>
      </c>
      <c r="C5" s="9">
        <v>1.51</v>
      </c>
      <c r="D5" s="9">
        <f>C5/$C$7*$D$7</f>
        <v>3.9148148148148145</v>
      </c>
      <c r="E5" s="9">
        <f>(B5+D5)*$D$1</f>
        <v>740.1609680407407</v>
      </c>
      <c r="F5" s="39">
        <v>425</v>
      </c>
      <c r="G5" s="39">
        <f>-E5+F5</f>
        <v>-315.1609680407407</v>
      </c>
    </row>
    <row r="6" spans="1:7" ht="15">
      <c r="A6" s="13" t="s">
        <v>260</v>
      </c>
      <c r="B6" s="9">
        <v>10.79</v>
      </c>
      <c r="C6" s="9">
        <v>0.14</v>
      </c>
      <c r="D6" s="9">
        <f>C6/$C$7*$D$7</f>
        <v>0.36296296296296293</v>
      </c>
      <c r="E6" s="9"/>
      <c r="F6" s="39"/>
      <c r="G6" s="39"/>
    </row>
    <row r="7" spans="1:7" ht="15">
      <c r="A7" s="36"/>
      <c r="B7" s="36"/>
      <c r="C7" s="36">
        <f>SUM(C4:C6)</f>
        <v>2.7</v>
      </c>
      <c r="D7" s="36">
        <v>7</v>
      </c>
      <c r="E7" s="36"/>
      <c r="F7" s="11"/>
      <c r="G7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E4" sqref="E4:E7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406894</v>
      </c>
      <c r="C1" s="31" t="s">
        <v>252</v>
      </c>
      <c r="D1" s="48">
        <v>33.69</v>
      </c>
      <c r="E1" s="28" t="s">
        <v>253</v>
      </c>
    </row>
    <row r="2" s="28" customFormat="1" ht="15">
      <c r="A2" s="46" t="s">
        <v>390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161</v>
      </c>
      <c r="B4" s="40">
        <v>57.55</v>
      </c>
      <c r="C4" s="40">
        <v>2.02</v>
      </c>
      <c r="D4" s="9">
        <f>C4/$C$9*$D$9</f>
        <v>9.011152416356879</v>
      </c>
      <c r="E4" s="39">
        <f>(B4+D4)*$D$1</f>
        <v>2242.445224907063</v>
      </c>
      <c r="F4" s="39">
        <v>2254</v>
      </c>
      <c r="G4" s="70">
        <f>-E4+F4</f>
        <v>11.55477509293678</v>
      </c>
    </row>
    <row r="5" spans="1:7" s="35" customFormat="1" ht="15">
      <c r="A5" s="9" t="s">
        <v>25</v>
      </c>
      <c r="B5" s="11">
        <v>3.19</v>
      </c>
      <c r="C5" s="11">
        <v>0.21</v>
      </c>
      <c r="D5" s="9">
        <f>C5/$C$9*$D$9</f>
        <v>0.9368029739776953</v>
      </c>
      <c r="E5" s="39">
        <f>(B5+D5)*$D$1</f>
        <v>139.03199219330855</v>
      </c>
      <c r="F5" s="39">
        <v>140</v>
      </c>
      <c r="G5" s="70">
        <f>-E5+F5</f>
        <v>0.9680078066914461</v>
      </c>
    </row>
    <row r="6" spans="1:7" s="35" customFormat="1" ht="15">
      <c r="A6" s="9" t="s">
        <v>268</v>
      </c>
      <c r="B6" s="11">
        <v>5.76</v>
      </c>
      <c r="C6" s="11">
        <v>0.24</v>
      </c>
      <c r="D6" s="9">
        <f>C6/$C$9*$D$9</f>
        <v>1.0706319702602232</v>
      </c>
      <c r="E6" s="39">
        <f>(B6+D6)*$D$1</f>
        <v>230.1239910780669</v>
      </c>
      <c r="F6" s="39">
        <v>231</v>
      </c>
      <c r="G6" s="70">
        <f>-E6+F6</f>
        <v>0.8760089219331064</v>
      </c>
    </row>
    <row r="7" spans="1:7" s="35" customFormat="1" ht="15">
      <c r="A7" s="9" t="s">
        <v>156</v>
      </c>
      <c r="B7" s="11">
        <v>12.73</v>
      </c>
      <c r="C7" s="11">
        <v>0.11</v>
      </c>
      <c r="D7" s="9">
        <f>C7/$C$9*$D$9</f>
        <v>0.4907063197026023</v>
      </c>
      <c r="E7" s="39">
        <f>(B7+D7)*$D$1</f>
        <v>445.4055959107806</v>
      </c>
      <c r="F7" s="39">
        <v>448</v>
      </c>
      <c r="G7" s="70">
        <f>-E7+F7</f>
        <v>2.594404089219381</v>
      </c>
    </row>
    <row r="8" spans="1:7" s="35" customFormat="1" ht="15">
      <c r="A8" s="9" t="s">
        <v>260</v>
      </c>
      <c r="B8" s="40">
        <v>7.5</v>
      </c>
      <c r="C8" s="40">
        <v>0.11</v>
      </c>
      <c r="D8" s="9">
        <f>C8/$C$9*$D$9</f>
        <v>0.4907063197026023</v>
      </c>
      <c r="E8" s="51"/>
      <c r="F8" s="52"/>
      <c r="G8" s="71"/>
    </row>
    <row r="9" spans="1:7" s="43" customFormat="1" ht="15">
      <c r="A9" s="41"/>
      <c r="B9" s="41"/>
      <c r="C9" s="41">
        <f>SUM(C4:C8)</f>
        <v>2.6899999999999995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41652</v>
      </c>
      <c r="C1" s="31" t="s">
        <v>252</v>
      </c>
      <c r="D1" s="48">
        <v>33.69</v>
      </c>
      <c r="E1" s="28" t="s">
        <v>253</v>
      </c>
    </row>
    <row r="2" s="28" customFormat="1" ht="15">
      <c r="A2" s="46" t="s">
        <v>390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391</v>
      </c>
      <c r="B4" s="40">
        <v>8.64</v>
      </c>
      <c r="C4" s="40">
        <v>0.54</v>
      </c>
      <c r="D4" s="9">
        <f>C4/$C$9*$D$9</f>
        <v>2.4269662921348316</v>
      </c>
      <c r="E4" s="9">
        <f>(B4+D4)*$D$1</f>
        <v>372.8460943820225</v>
      </c>
      <c r="F4" s="39">
        <v>375</v>
      </c>
      <c r="G4" s="70">
        <f>-E4+F4</f>
        <v>2.1539056179775002</v>
      </c>
    </row>
    <row r="5" spans="1:7" s="35" customFormat="1" ht="15">
      <c r="A5" s="9" t="s">
        <v>212</v>
      </c>
      <c r="B5" s="40">
        <v>32.83</v>
      </c>
      <c r="C5" s="40">
        <v>0.21</v>
      </c>
      <c r="D5" s="9">
        <f>C5/$C$9*$D$9</f>
        <v>0.9438202247191011</v>
      </c>
      <c r="E5" s="9">
        <f>(B5+D5)*$D$1</f>
        <v>1137.8400033707865</v>
      </c>
      <c r="F5" s="39">
        <v>1144</v>
      </c>
      <c r="G5" s="70">
        <f>-E5+F5</f>
        <v>6.159996629213538</v>
      </c>
    </row>
    <row r="6" spans="1:7" s="35" customFormat="1" ht="15">
      <c r="A6" s="9" t="s">
        <v>167</v>
      </c>
      <c r="B6" s="40">
        <v>10.08</v>
      </c>
      <c r="C6" s="40">
        <v>0.16</v>
      </c>
      <c r="D6" s="9">
        <f>C6/$C$9*$D$9</f>
        <v>0.7191011235955056</v>
      </c>
      <c r="E6" s="9">
        <f>(B6+D6)*$D$1</f>
        <v>363.82171685393257</v>
      </c>
      <c r="F6" s="39">
        <v>366</v>
      </c>
      <c r="G6" s="70">
        <f>-E6+F6</f>
        <v>2.178283146067429</v>
      </c>
    </row>
    <row r="7" spans="1:7" s="35" customFormat="1" ht="15">
      <c r="A7" s="9" t="s">
        <v>120</v>
      </c>
      <c r="B7" s="40">
        <v>4.34</v>
      </c>
      <c r="C7" s="40">
        <v>1.21</v>
      </c>
      <c r="D7" s="9">
        <f>C7/$C$9*$D$9</f>
        <v>5.438202247191011</v>
      </c>
      <c r="E7" s="9">
        <f>(B7+D7)*$D$1</f>
        <v>329.42763370786514</v>
      </c>
      <c r="F7" s="39">
        <v>331</v>
      </c>
      <c r="G7" s="70">
        <f>-E7+F7</f>
        <v>1.5723662921348591</v>
      </c>
    </row>
    <row r="8" spans="1:7" s="35" customFormat="1" ht="15">
      <c r="A8" s="9" t="s">
        <v>260</v>
      </c>
      <c r="B8" s="40">
        <v>31.76</v>
      </c>
      <c r="C8" s="40">
        <v>0.55</v>
      </c>
      <c r="D8" s="9">
        <f>C8/$C$9*$D$9</f>
        <v>2.471910112359551</v>
      </c>
      <c r="E8" s="51"/>
      <c r="F8" s="52"/>
      <c r="G8" s="71"/>
    </row>
    <row r="9" spans="1:7" s="43" customFormat="1" ht="15">
      <c r="A9" s="41"/>
      <c r="B9" s="41"/>
      <c r="C9" s="41">
        <f>SUM(C4:C8)</f>
        <v>2.67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41652</v>
      </c>
      <c r="C1" s="31" t="s">
        <v>252</v>
      </c>
      <c r="D1" s="48">
        <v>33.92</v>
      </c>
      <c r="E1" s="28" t="s">
        <v>253</v>
      </c>
    </row>
    <row r="2" s="28" customFormat="1" ht="15">
      <c r="A2" s="46" t="s">
        <v>390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266</v>
      </c>
      <c r="B4" s="40">
        <v>72.43</v>
      </c>
      <c r="C4" s="40">
        <v>1.93</v>
      </c>
      <c r="D4" s="9">
        <f>C4/$C$6*$D$6</f>
        <v>9.264</v>
      </c>
      <c r="E4" s="9">
        <f>(B4+D4)*$D$1</f>
        <v>2771.06048</v>
      </c>
      <c r="F4" s="39">
        <f>2350+417</f>
        <v>2767</v>
      </c>
      <c r="G4" s="70">
        <f>-E4+F4</f>
        <v>-4.060480000000098</v>
      </c>
    </row>
    <row r="5" spans="1:7" s="35" customFormat="1" ht="15">
      <c r="A5" s="9" t="s">
        <v>371</v>
      </c>
      <c r="B5" s="11">
        <v>26.72</v>
      </c>
      <c r="C5" s="11">
        <v>0.57</v>
      </c>
      <c r="D5" s="9">
        <f>C5/$C$6*$D$6</f>
        <v>2.7359999999999998</v>
      </c>
      <c r="E5" s="9">
        <f>(B5+D5)*$D$1</f>
        <v>999.14752</v>
      </c>
      <c r="F5" s="39">
        <v>993</v>
      </c>
      <c r="G5" s="70">
        <f>-E5+F5</f>
        <v>-6.147519999999986</v>
      </c>
    </row>
    <row r="6" spans="1:7" s="43" customFormat="1" ht="15">
      <c r="A6" s="41"/>
      <c r="B6" s="41"/>
      <c r="C6" s="41">
        <f>SUM(C4:C5)</f>
        <v>2.5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41659</v>
      </c>
      <c r="C1" s="31" t="s">
        <v>252</v>
      </c>
      <c r="D1" s="48">
        <v>34.01</v>
      </c>
      <c r="E1" s="28" t="s">
        <v>253</v>
      </c>
    </row>
    <row r="2" s="28" customFormat="1" ht="15">
      <c r="A2" s="46" t="s">
        <v>392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340</v>
      </c>
      <c r="B4" s="40">
        <v>17.1</v>
      </c>
      <c r="C4" s="40">
        <v>1</v>
      </c>
      <c r="D4" s="9">
        <f>C4/$C$9*$D$9</f>
        <v>4.615384615384615</v>
      </c>
      <c r="E4" s="9">
        <f>(B4+D4)*$D$1</f>
        <v>738.5402307692307</v>
      </c>
      <c r="F4" s="39">
        <v>736</v>
      </c>
      <c r="G4" s="70">
        <f>-E4+F4</f>
        <v>-2.540230769230675</v>
      </c>
    </row>
    <row r="5" spans="1:7" s="35" customFormat="1" ht="15">
      <c r="A5" s="9" t="s">
        <v>65</v>
      </c>
      <c r="B5" s="40">
        <v>8.99</v>
      </c>
      <c r="C5" s="40">
        <v>0.07</v>
      </c>
      <c r="D5" s="9">
        <f>C5/$C$9*$D$9</f>
        <v>0.3230769230769231</v>
      </c>
      <c r="E5" s="9">
        <f>(B5+D5)*$D$1</f>
        <v>316.73774615384616</v>
      </c>
      <c r="F5" s="39">
        <v>317</v>
      </c>
      <c r="G5" s="70">
        <f>-E5+F5</f>
        <v>0.26225384615383973</v>
      </c>
    </row>
    <row r="6" spans="1:7" s="35" customFormat="1" ht="15">
      <c r="A6" s="9" t="s">
        <v>63</v>
      </c>
      <c r="B6" s="40">
        <v>31.24</v>
      </c>
      <c r="C6" s="40">
        <v>0.59</v>
      </c>
      <c r="D6" s="9">
        <f>C6/$C$9*$D$9</f>
        <v>2.7230769230769227</v>
      </c>
      <c r="E6" s="9">
        <f>(B6+D6)*$D$1</f>
        <v>1155.084246153846</v>
      </c>
      <c r="F6" s="39">
        <v>1150</v>
      </c>
      <c r="G6" s="70">
        <f>-E6+F6</f>
        <v>-5.084246153845925</v>
      </c>
    </row>
    <row r="7" spans="1:7" s="35" customFormat="1" ht="15">
      <c r="A7" s="9" t="s">
        <v>143</v>
      </c>
      <c r="B7" s="40">
        <v>25.51</v>
      </c>
      <c r="C7" s="40">
        <v>0.46</v>
      </c>
      <c r="D7" s="9">
        <f>C7/$C$9*$D$9</f>
        <v>2.123076923076923</v>
      </c>
      <c r="E7" s="9">
        <f>(B7+D7)*$D$1</f>
        <v>939.8009461538461</v>
      </c>
      <c r="F7" s="39">
        <v>2500</v>
      </c>
      <c r="G7" s="70">
        <f>-E7+F7</f>
        <v>1560.199053846154</v>
      </c>
    </row>
    <row r="8" spans="1:7" s="35" customFormat="1" ht="15">
      <c r="A8" s="9" t="s">
        <v>260</v>
      </c>
      <c r="B8" s="40">
        <v>8.5</v>
      </c>
      <c r="C8" s="40">
        <v>0.48</v>
      </c>
      <c r="D8" s="9">
        <f>C8/$C$9*$D$9</f>
        <v>2.215384615384615</v>
      </c>
      <c r="E8" s="51"/>
      <c r="F8" s="52"/>
      <c r="G8" s="71"/>
    </row>
    <row r="9" spans="1:7" s="43" customFormat="1" ht="15">
      <c r="A9" s="41"/>
      <c r="B9" s="41"/>
      <c r="C9" s="41">
        <f>SUM(C4:C8)</f>
        <v>2.6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41661</v>
      </c>
      <c r="C1" s="31" t="s">
        <v>252</v>
      </c>
      <c r="D1" s="48">
        <v>34.85</v>
      </c>
      <c r="E1" s="28" t="s">
        <v>253</v>
      </c>
    </row>
    <row r="2" s="28" customFormat="1" ht="15">
      <c r="A2" s="46" t="s">
        <v>393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43</v>
      </c>
      <c r="B4" s="40">
        <v>37.26</v>
      </c>
      <c r="C4" s="40">
        <v>2.42</v>
      </c>
      <c r="D4" s="9">
        <f>C4/$C$5*$D$5</f>
        <v>12</v>
      </c>
      <c r="E4" s="9">
        <f>(B4+D4)*$D$1</f>
        <v>1716.711</v>
      </c>
      <c r="F4" s="39">
        <v>1702</v>
      </c>
      <c r="G4" s="70">
        <f>-E4+F4</f>
        <v>-14.711000000000013</v>
      </c>
    </row>
    <row r="5" spans="1:7" s="43" customFormat="1" ht="15">
      <c r="A5" s="41"/>
      <c r="B5" s="41"/>
      <c r="C5" s="41">
        <f>SUM(C4:C4)</f>
        <v>2.42</v>
      </c>
      <c r="D5" s="41">
        <v>12</v>
      </c>
      <c r="E5" s="41"/>
      <c r="F5" s="41"/>
      <c r="G5" s="41"/>
    </row>
    <row r="7" ht="31.5">
      <c r="A7" s="49"/>
    </row>
    <row r="8" ht="31.5">
      <c r="A8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41663</v>
      </c>
      <c r="C1" s="31" t="s">
        <v>252</v>
      </c>
      <c r="D1" s="48">
        <v>34.94</v>
      </c>
      <c r="E1" s="28" t="s">
        <v>253</v>
      </c>
    </row>
    <row r="2" s="28" customFormat="1" ht="15">
      <c r="A2" s="46" t="s">
        <v>394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106</v>
      </c>
      <c r="B4" s="40">
        <v>43.98</v>
      </c>
      <c r="C4" s="40">
        <v>0.32</v>
      </c>
      <c r="D4" s="9">
        <f>C4/$C$8*$D$8</f>
        <v>1.427509293680297</v>
      </c>
      <c r="E4" s="9">
        <f>(B4+D4)*$D$1</f>
        <v>1586.5383747211893</v>
      </c>
      <c r="F4" s="39">
        <v>1538</v>
      </c>
      <c r="G4" s="70">
        <f>-E4+F4</f>
        <v>-48.53837472118926</v>
      </c>
    </row>
    <row r="5" spans="1:7" s="35" customFormat="1" ht="15">
      <c r="A5" s="9" t="s">
        <v>113</v>
      </c>
      <c r="B5" s="40">
        <v>6.37</v>
      </c>
      <c r="C5" s="40">
        <v>0.33</v>
      </c>
      <c r="D5" s="9">
        <f>C5/$C$8*$D$8</f>
        <v>1.4721189591078065</v>
      </c>
      <c r="E5" s="9">
        <f>(B5+D5)*$D$1</f>
        <v>274.00363643122677</v>
      </c>
      <c r="F5" s="39">
        <v>263</v>
      </c>
      <c r="G5" s="70">
        <f>-E5+F5</f>
        <v>-11.003636431226766</v>
      </c>
    </row>
    <row r="6" spans="1:7" s="35" customFormat="1" ht="15">
      <c r="A6" s="9" t="s">
        <v>268</v>
      </c>
      <c r="B6" s="40">
        <v>23.98</v>
      </c>
      <c r="C6" s="40">
        <v>0.8</v>
      </c>
      <c r="D6" s="9">
        <f>C6/$C$8*$D$8</f>
        <v>3.568773234200743</v>
      </c>
      <c r="E6" s="9">
        <f>(B6+D6)*$D$1</f>
        <v>962.554136802974</v>
      </c>
      <c r="F6" s="39">
        <f>70+861</f>
        <v>931</v>
      </c>
      <c r="G6" s="70">
        <f>-E6+F6</f>
        <v>-31.55413680297397</v>
      </c>
    </row>
    <row r="7" spans="1:7" s="35" customFormat="1" ht="15">
      <c r="A7" s="9" t="s">
        <v>260</v>
      </c>
      <c r="B7" s="40">
        <v>24.36</v>
      </c>
      <c r="C7" s="40">
        <v>1.24</v>
      </c>
      <c r="D7" s="9">
        <f>C7/$C$8*$D$8</f>
        <v>5.531598513011152</v>
      </c>
      <c r="E7" s="51"/>
      <c r="F7" s="52"/>
      <c r="G7" s="71"/>
    </row>
    <row r="8" spans="1:7" s="43" customFormat="1" ht="15">
      <c r="A8" s="41"/>
      <c r="B8" s="41"/>
      <c r="C8" s="41">
        <f>SUM(C4:C7)</f>
        <v>2.6900000000000004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41663</v>
      </c>
      <c r="C1" s="31" t="s">
        <v>252</v>
      </c>
      <c r="D1" s="48">
        <v>34.94</v>
      </c>
      <c r="E1" s="28" t="s">
        <v>253</v>
      </c>
    </row>
    <row r="2" s="28" customFormat="1" ht="15">
      <c r="A2" s="46" t="s">
        <v>394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141</v>
      </c>
      <c r="B4" s="40">
        <v>7.63</v>
      </c>
      <c r="C4" s="40">
        <v>0.27</v>
      </c>
      <c r="D4" s="9">
        <f>C4/$C$9*$D$9</f>
        <v>1.1911764705882353</v>
      </c>
      <c r="E4" s="9">
        <f>(B4+D4)*$D$1</f>
        <v>308.2119058823529</v>
      </c>
      <c r="F4" s="39">
        <v>294</v>
      </c>
      <c r="G4" s="70">
        <f>-E4+F4</f>
        <v>-14.21190588235288</v>
      </c>
    </row>
    <row r="5" spans="1:7" s="35" customFormat="1" ht="15">
      <c r="A5" s="9" t="s">
        <v>99</v>
      </c>
      <c r="B5" s="11">
        <v>10.05</v>
      </c>
      <c r="C5" s="40">
        <v>0.16</v>
      </c>
      <c r="D5" s="9">
        <f>C5/$C$9*$D$9</f>
        <v>0.7058823529411764</v>
      </c>
      <c r="E5" s="9">
        <f>(B5+D5)*$D$1</f>
        <v>375.81052941176466</v>
      </c>
      <c r="F5" s="39">
        <v>364</v>
      </c>
      <c r="G5" s="70">
        <f>-E5+F5</f>
        <v>-11.810529411764662</v>
      </c>
    </row>
    <row r="6" spans="1:7" s="35" customFormat="1" ht="15">
      <c r="A6" s="9" t="s">
        <v>145</v>
      </c>
      <c r="B6" s="40">
        <v>25.97</v>
      </c>
      <c r="C6" s="40">
        <v>0.18</v>
      </c>
      <c r="D6" s="9">
        <f>C6/$C$9*$D$9</f>
        <v>0.7941176470588234</v>
      </c>
      <c r="E6" s="9">
        <f>(B6+D6)*$D$1</f>
        <v>935.1382705882352</v>
      </c>
      <c r="F6" s="39">
        <v>907</v>
      </c>
      <c r="G6" s="70">
        <f>-E6+F6</f>
        <v>-28.138270588235173</v>
      </c>
    </row>
    <row r="7" spans="1:7" s="35" customFormat="1" ht="15">
      <c r="A7" s="9" t="s">
        <v>167</v>
      </c>
      <c r="B7" s="40">
        <v>30.08</v>
      </c>
      <c r="C7" s="40">
        <v>0.67</v>
      </c>
      <c r="D7" s="9">
        <f>C7/$C$9*$D$9</f>
        <v>2.955882352941176</v>
      </c>
      <c r="E7" s="9">
        <f>(B7+D7)*$D$1</f>
        <v>1154.2737294117644</v>
      </c>
      <c r="F7" s="39">
        <v>1119</v>
      </c>
      <c r="G7" s="70">
        <f>-E7+F7</f>
        <v>-35.27372941176441</v>
      </c>
    </row>
    <row r="8" spans="1:7" s="35" customFormat="1" ht="15">
      <c r="A8" s="9" t="s">
        <v>260</v>
      </c>
      <c r="B8" s="40">
        <v>21.41</v>
      </c>
      <c r="C8" s="40">
        <v>1.44</v>
      </c>
      <c r="D8" s="9">
        <f>C8/$C$9*$D$9</f>
        <v>6.352941176470587</v>
      </c>
      <c r="E8" s="51"/>
      <c r="F8" s="52"/>
      <c r="G8" s="71"/>
    </row>
    <row r="9" spans="1:7" s="43" customFormat="1" ht="15">
      <c r="A9" s="41"/>
      <c r="B9" s="41"/>
      <c r="C9" s="41">
        <f>SUM(C4:C8)</f>
        <v>2.72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41663</v>
      </c>
      <c r="C1" s="31" t="s">
        <v>252</v>
      </c>
      <c r="D1" s="48">
        <v>34.94</v>
      </c>
      <c r="E1" s="28" t="s">
        <v>253</v>
      </c>
    </row>
    <row r="2" s="28" customFormat="1" ht="15">
      <c r="A2" s="46" t="s">
        <v>394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137</v>
      </c>
      <c r="B4" s="40">
        <v>39.96</v>
      </c>
      <c r="C4" s="40">
        <v>0.681</v>
      </c>
      <c r="D4" s="9">
        <f>C4/$C$7*$D$7</f>
        <v>3.0367892976588635</v>
      </c>
      <c r="E4" s="9">
        <f>(B4+D4)*$D$1</f>
        <v>1502.3078180602006</v>
      </c>
      <c r="F4" s="39">
        <v>1460</v>
      </c>
      <c r="G4" s="70">
        <f>-E4+F4</f>
        <v>-42.30781806020059</v>
      </c>
    </row>
    <row r="5" spans="1:7" s="35" customFormat="1" ht="15">
      <c r="A5" s="9" t="s">
        <v>143</v>
      </c>
      <c r="B5" s="40">
        <v>37.37</v>
      </c>
      <c r="C5" s="40">
        <v>0.51</v>
      </c>
      <c r="D5" s="9">
        <f>C5/$C$7*$D$7</f>
        <v>2.2742474916387962</v>
      </c>
      <c r="E5" s="9">
        <f>(B5+D5)*$D$1</f>
        <v>1385.1700073578593</v>
      </c>
      <c r="F5" s="39"/>
      <c r="G5" s="70">
        <f>-E5+F5</f>
        <v>-1385.1700073578593</v>
      </c>
    </row>
    <row r="6" spans="1:7" s="35" customFormat="1" ht="15">
      <c r="A6" s="9" t="s">
        <v>260</v>
      </c>
      <c r="B6" s="40">
        <v>21.22</v>
      </c>
      <c r="C6" s="40">
        <v>1.5</v>
      </c>
      <c r="D6" s="9">
        <f>C6/$C$7*$D$7</f>
        <v>6.688963210702341</v>
      </c>
      <c r="E6" s="51"/>
      <c r="F6" s="52"/>
      <c r="G6" s="71"/>
    </row>
    <row r="7" spans="1:7" s="43" customFormat="1" ht="15">
      <c r="A7" s="41"/>
      <c r="B7" s="41"/>
      <c r="C7" s="41">
        <f>SUM(C4:C6)</f>
        <v>2.691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</cols>
  <sheetData>
    <row r="1" spans="1:5" s="28" customFormat="1" ht="21">
      <c r="A1" s="29" t="s">
        <v>251</v>
      </c>
      <c r="B1" s="30">
        <v>41666</v>
      </c>
      <c r="C1" s="31" t="s">
        <v>252</v>
      </c>
      <c r="D1" s="48">
        <v>35.22</v>
      </c>
      <c r="E1" s="28" t="s">
        <v>253</v>
      </c>
    </row>
    <row r="2" s="28" customFormat="1" ht="15">
      <c r="A2" s="46" t="s">
        <v>395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63</v>
      </c>
      <c r="B4" s="40">
        <v>16.08</v>
      </c>
      <c r="C4" s="40">
        <v>0.43</v>
      </c>
      <c r="D4" s="9">
        <f aca="true" t="shared" si="0" ref="D4:D10">C4/$C$11*$D$11</f>
        <v>1.9182156133828996</v>
      </c>
      <c r="E4" s="9">
        <f aca="true" t="shared" si="1" ref="E4:E9">(B4+D4)*$D$1</f>
        <v>633.8971539033456</v>
      </c>
      <c r="F4" s="39">
        <v>629</v>
      </c>
      <c r="G4" s="70">
        <f aca="true" t="shared" si="2" ref="G4:G9">-E4+F4</f>
        <v>-4.897153903345611</v>
      </c>
    </row>
    <row r="5" spans="1:7" s="35" customFormat="1" ht="15">
      <c r="A5" s="9" t="s">
        <v>84</v>
      </c>
      <c r="B5" s="40">
        <v>4.61</v>
      </c>
      <c r="C5" s="64">
        <v>0.04</v>
      </c>
      <c r="D5" s="9">
        <f t="shared" si="0"/>
        <v>0.17843866171003714</v>
      </c>
      <c r="E5" s="9">
        <f t="shared" si="1"/>
        <v>168.6488096654275</v>
      </c>
      <c r="F5" s="39">
        <v>173</v>
      </c>
      <c r="G5" s="70">
        <f t="shared" si="2"/>
        <v>4.351190334572493</v>
      </c>
    </row>
    <row r="6" spans="1:7" s="35" customFormat="1" ht="15">
      <c r="A6" s="9" t="s">
        <v>93</v>
      </c>
      <c r="B6" s="40">
        <v>13.830000000000002</v>
      </c>
      <c r="C6" s="40">
        <v>0.12</v>
      </c>
      <c r="D6" s="9">
        <f t="shared" si="0"/>
        <v>0.5353159851301115</v>
      </c>
      <c r="E6" s="9">
        <f t="shared" si="1"/>
        <v>505.9464289962826</v>
      </c>
      <c r="F6" s="39">
        <v>502</v>
      </c>
      <c r="G6" s="70">
        <f t="shared" si="2"/>
        <v>-3.9464289962825774</v>
      </c>
    </row>
    <row r="7" spans="1:7" s="35" customFormat="1" ht="15">
      <c r="A7" s="9" t="s">
        <v>25</v>
      </c>
      <c r="B7" s="11">
        <v>20.86</v>
      </c>
      <c r="C7" s="40">
        <v>1.11</v>
      </c>
      <c r="D7" s="9">
        <f t="shared" si="0"/>
        <v>4.951672862453531</v>
      </c>
      <c r="E7" s="9">
        <f t="shared" si="1"/>
        <v>909.0871182156134</v>
      </c>
      <c r="F7" s="39">
        <v>895</v>
      </c>
      <c r="G7" s="70">
        <f t="shared" si="2"/>
        <v>-14.087118215613373</v>
      </c>
    </row>
    <row r="8" spans="1:7" s="35" customFormat="1" ht="15">
      <c r="A8" s="9" t="s">
        <v>145</v>
      </c>
      <c r="B8" s="40">
        <v>10.99</v>
      </c>
      <c r="C8" s="40">
        <v>0.06</v>
      </c>
      <c r="D8" s="9">
        <f t="shared" si="0"/>
        <v>0.26765799256505574</v>
      </c>
      <c r="E8" s="9">
        <f t="shared" si="1"/>
        <v>396.49471449814126</v>
      </c>
      <c r="F8" s="39">
        <v>393</v>
      </c>
      <c r="G8" s="70">
        <f t="shared" si="2"/>
        <v>-3.4947144981412634</v>
      </c>
    </row>
    <row r="9" spans="1:8" s="35" customFormat="1" ht="15">
      <c r="A9" s="9" t="s">
        <v>94</v>
      </c>
      <c r="B9" s="40">
        <v>27.11</v>
      </c>
      <c r="C9" s="40">
        <v>0.69</v>
      </c>
      <c r="D9" s="9">
        <f t="shared" si="0"/>
        <v>3.0780669144981405</v>
      </c>
      <c r="E9" s="9">
        <f t="shared" si="1"/>
        <v>1063.2237167286244</v>
      </c>
      <c r="F9" s="39">
        <f>1053+8</f>
        <v>1061</v>
      </c>
      <c r="G9" s="70">
        <f t="shared" si="2"/>
        <v>-2.2237167286243675</v>
      </c>
      <c r="H9" s="74" t="s">
        <v>396</v>
      </c>
    </row>
    <row r="10" spans="1:7" s="35" customFormat="1" ht="15">
      <c r="A10" s="9" t="s">
        <v>260</v>
      </c>
      <c r="B10" s="40">
        <v>5.9</v>
      </c>
      <c r="C10" s="40">
        <v>0.24</v>
      </c>
      <c r="D10" s="9">
        <f t="shared" si="0"/>
        <v>1.070631970260223</v>
      </c>
      <c r="E10" s="51"/>
      <c r="F10" s="52"/>
      <c r="G10" s="71"/>
    </row>
    <row r="11" spans="1:7" s="43" customFormat="1" ht="15">
      <c r="A11" s="41"/>
      <c r="B11" s="41"/>
      <c r="C11" s="41">
        <f>SUM(C4:C10)</f>
        <v>2.6900000000000004</v>
      </c>
      <c r="D11" s="41">
        <v>12</v>
      </c>
      <c r="E11" s="41"/>
      <c r="F11" s="41"/>
      <c r="G11" s="41"/>
    </row>
    <row r="13" ht="31.5">
      <c r="A13" s="49"/>
    </row>
    <row r="14" ht="31.5">
      <c r="A14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41668</v>
      </c>
      <c r="C1" s="31" t="s">
        <v>252</v>
      </c>
      <c r="D1" s="48">
        <v>35.85</v>
      </c>
      <c r="E1" s="28" t="s">
        <v>253</v>
      </c>
    </row>
    <row r="2" s="28" customFormat="1" ht="15">
      <c r="A2" s="46" t="s">
        <v>397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56</v>
      </c>
      <c r="B4" s="40">
        <v>40.32</v>
      </c>
      <c r="C4" s="40">
        <v>0.96</v>
      </c>
      <c r="D4" s="9">
        <f>C4/$C$9*$D$9</f>
        <v>4.363636363636363</v>
      </c>
      <c r="E4" s="9">
        <f>(B4+D4)*$D$1</f>
        <v>1601.908363636364</v>
      </c>
      <c r="F4" s="39">
        <v>1605</v>
      </c>
      <c r="G4" s="70">
        <f>-E4+F4</f>
        <v>3.0916363636360984</v>
      </c>
    </row>
    <row r="5" spans="1:7" s="35" customFormat="1" ht="15">
      <c r="A5" s="9" t="s">
        <v>371</v>
      </c>
      <c r="B5" s="40">
        <v>35.59</v>
      </c>
      <c r="C5" s="64">
        <v>0.3</v>
      </c>
      <c r="D5" s="9">
        <f>C5/$C$9*$D$9</f>
        <v>1.3636363636363635</v>
      </c>
      <c r="E5" s="9">
        <f>(B5+D5)*$D$1</f>
        <v>1324.787863636364</v>
      </c>
      <c r="F5" s="39">
        <v>1330</v>
      </c>
      <c r="G5" s="70">
        <f>-E5+F5</f>
        <v>5.212136363636091</v>
      </c>
    </row>
    <row r="6" spans="1:7" s="35" customFormat="1" ht="15">
      <c r="A6" s="9" t="s">
        <v>143</v>
      </c>
      <c r="B6" s="40">
        <v>7.99</v>
      </c>
      <c r="C6" s="40">
        <v>0.73</v>
      </c>
      <c r="D6" s="9">
        <f>C6/$C$9*$D$9</f>
        <v>3.318181818181818</v>
      </c>
      <c r="E6" s="9">
        <f>(B6+D6)*$D$1</f>
        <v>405.3983181818182</v>
      </c>
      <c r="F6" s="39">
        <v>240</v>
      </c>
      <c r="G6" s="70">
        <f>-E6+F6</f>
        <v>-165.39831818181818</v>
      </c>
    </row>
    <row r="7" spans="1:7" s="35" customFormat="1" ht="15">
      <c r="A7" s="9" t="s">
        <v>69</v>
      </c>
      <c r="B7" s="11">
        <v>11.84</v>
      </c>
      <c r="C7" s="40">
        <v>0.57</v>
      </c>
      <c r="D7" s="9">
        <f>C7/$C$9*$D$9</f>
        <v>2.590909090909091</v>
      </c>
      <c r="E7" s="9">
        <f>(B7+D7)*$D$1</f>
        <v>517.3480909090908</v>
      </c>
      <c r="F7" s="39">
        <v>525</v>
      </c>
      <c r="G7" s="70">
        <f>-E7+F7</f>
        <v>7.651909090909157</v>
      </c>
    </row>
    <row r="8" spans="1:7" s="35" customFormat="1" ht="15">
      <c r="A8" s="9" t="s">
        <v>260</v>
      </c>
      <c r="B8" s="40">
        <v>2.95</v>
      </c>
      <c r="C8" s="40">
        <v>0.08</v>
      </c>
      <c r="D8" s="9">
        <f>C8/$C$9*$D$9</f>
        <v>0.36363636363636365</v>
      </c>
      <c r="E8" s="51"/>
      <c r="F8" s="52"/>
      <c r="G8" s="71"/>
    </row>
    <row r="9" spans="1:7" s="43" customFormat="1" ht="15">
      <c r="A9" s="41"/>
      <c r="B9" s="41"/>
      <c r="C9" s="41">
        <f>SUM(C4:C8)</f>
        <v>2.64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  <row r="14" ht="15">
      <c r="A14" s="4"/>
    </row>
    <row r="15" spans="1:2" ht="15">
      <c r="A15" s="75" t="s">
        <v>371</v>
      </c>
      <c r="B15" s="76"/>
    </row>
    <row r="16" spans="1:2" ht="15">
      <c r="A16" s="76" t="s">
        <v>398</v>
      </c>
      <c r="B16" s="77" t="s">
        <v>399</v>
      </c>
    </row>
  </sheetData>
  <sheetProtection selectLockedCells="1" selectUnlockedCells="1"/>
  <hyperlinks>
    <hyperlink ref="B16" r:id="rId1" display="http://www.iherb.com/Now-Foods-Laxative-Cleanse-100-Veggie-Caps/39372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G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41219</v>
      </c>
      <c r="C1" s="31" t="s">
        <v>252</v>
      </c>
      <c r="D1" s="32">
        <f>31.30331</f>
        <v>31.30331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56</v>
      </c>
      <c r="B4" s="9">
        <v>67.16</v>
      </c>
      <c r="C4" s="9">
        <v>1.82</v>
      </c>
      <c r="D4" s="9">
        <f>C4/$C$5*$D$5</f>
        <v>5</v>
      </c>
      <c r="E4" s="9">
        <f>(B4+D4)*$D$1</f>
        <v>2258.8468496</v>
      </c>
      <c r="F4" s="39">
        <f>2637</f>
        <v>2637</v>
      </c>
      <c r="G4" s="39">
        <f>-E4+F4</f>
        <v>378.15315039999996</v>
      </c>
    </row>
    <row r="5" spans="1:7" ht="15">
      <c r="A5" s="36"/>
      <c r="B5" s="36"/>
      <c r="C5" s="36">
        <f>SUM(C4:C4)</f>
        <v>1.82</v>
      </c>
      <c r="D5" s="36">
        <v>5</v>
      </c>
      <c r="E5" s="36"/>
      <c r="F5" s="11"/>
      <c r="G5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41668</v>
      </c>
      <c r="C1" s="31" t="s">
        <v>252</v>
      </c>
      <c r="D1" s="48">
        <v>35.85</v>
      </c>
      <c r="E1" s="28" t="s">
        <v>253</v>
      </c>
    </row>
    <row r="2" s="28" customFormat="1" ht="15">
      <c r="A2" s="46" t="s">
        <v>397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400</v>
      </c>
      <c r="B4" s="40">
        <v>23.3</v>
      </c>
      <c r="C4" s="40">
        <v>0.11</v>
      </c>
      <c r="D4" s="9">
        <f>C4/$C$9*$D$9</f>
        <v>0.48708487084870844</v>
      </c>
      <c r="E4" s="9">
        <f>(B4+D4)*$D$1</f>
        <v>852.7669926199262</v>
      </c>
      <c r="F4" s="39">
        <v>855</v>
      </c>
      <c r="G4" s="70">
        <f>-E4+F4</f>
        <v>2.2330073800737864</v>
      </c>
    </row>
    <row r="5" spans="1:7" s="35" customFormat="1" ht="15">
      <c r="A5" s="9" t="s">
        <v>145</v>
      </c>
      <c r="B5" s="40">
        <v>9.99</v>
      </c>
      <c r="C5" s="64">
        <v>0.1</v>
      </c>
      <c r="D5" s="9">
        <f>C5/$C$9*$D$9</f>
        <v>0.44280442804428044</v>
      </c>
      <c r="E5" s="9">
        <f>(B5+D5)*$D$1</f>
        <v>374.01603874538745</v>
      </c>
      <c r="F5" s="39">
        <v>375</v>
      </c>
      <c r="G5" s="70">
        <f>-E5+F5</f>
        <v>0.9839612546125522</v>
      </c>
    </row>
    <row r="6" spans="1:7" s="35" customFormat="1" ht="15">
      <c r="A6" s="9" t="s">
        <v>157</v>
      </c>
      <c r="B6" s="11">
        <v>12.59</v>
      </c>
      <c r="C6" s="11">
        <v>0.38</v>
      </c>
      <c r="D6" s="9">
        <f>C6/$C$9*$D$9</f>
        <v>1.682656826568266</v>
      </c>
      <c r="E6" s="9">
        <f>(B6+D6)*$D$1</f>
        <v>511.6747472324723</v>
      </c>
      <c r="F6" s="39">
        <v>511</v>
      </c>
      <c r="G6" s="70">
        <f>-E6+F6</f>
        <v>-0.6747472324723276</v>
      </c>
    </row>
    <row r="7" spans="1:7" s="35" customFormat="1" ht="15">
      <c r="A7" s="9" t="s">
        <v>65</v>
      </c>
      <c r="B7" s="11">
        <v>17.86</v>
      </c>
      <c r="C7" s="40">
        <v>0.93</v>
      </c>
      <c r="D7" s="9">
        <f>C7/$C$9*$D$9</f>
        <v>4.118081180811808</v>
      </c>
      <c r="E7" s="9">
        <f>(B7+D7)*$D$1</f>
        <v>787.9142103321033</v>
      </c>
      <c r="F7" s="39">
        <v>792</v>
      </c>
      <c r="G7" s="70">
        <f>-E7+F7</f>
        <v>4.085789667896734</v>
      </c>
    </row>
    <row r="8" spans="1:7" s="35" customFormat="1" ht="15">
      <c r="A8" s="9" t="s">
        <v>260</v>
      </c>
      <c r="B8" s="40">
        <v>26.32</v>
      </c>
      <c r="C8" s="40">
        <v>1.19</v>
      </c>
      <c r="D8" s="9">
        <f>C8/$C$9*$D$9</f>
        <v>5.269372693726937</v>
      </c>
      <c r="E8" s="51"/>
      <c r="F8" s="52"/>
      <c r="G8" s="71"/>
    </row>
    <row r="9" spans="1:7" s="43" customFormat="1" ht="15">
      <c r="A9" s="41"/>
      <c r="B9" s="41"/>
      <c r="C9" s="41">
        <f>SUM(C4:C8)</f>
        <v>2.71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indexed="10"/>
  </sheetPr>
  <dimension ref="A1:H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41669</v>
      </c>
      <c r="C1" s="31" t="s">
        <v>252</v>
      </c>
      <c r="D1" s="48">
        <v>35.88</v>
      </c>
      <c r="E1" s="28" t="s">
        <v>253</v>
      </c>
    </row>
    <row r="2" s="28" customFormat="1" ht="15">
      <c r="A2" s="46" t="s">
        <v>401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8" s="35" customFormat="1" ht="15">
      <c r="A4" s="9" t="s">
        <v>135</v>
      </c>
      <c r="B4" s="40">
        <v>37.96</v>
      </c>
      <c r="C4" s="40">
        <v>2.54</v>
      </c>
      <c r="D4" s="9">
        <f>C4/$C$5*$D$5</f>
        <v>12</v>
      </c>
      <c r="E4" s="9">
        <f>(B4+D4)*$D$1</f>
        <v>1792.5648</v>
      </c>
      <c r="F4" s="39">
        <v>1793</v>
      </c>
      <c r="G4" s="70">
        <f>-E4+F4</f>
        <v>0.4351999999998952</v>
      </c>
      <c r="H4" s="35">
        <v>-1154</v>
      </c>
    </row>
    <row r="5" spans="1:7" s="43" customFormat="1" ht="15">
      <c r="A5" s="41"/>
      <c r="B5" s="41"/>
      <c r="C5" s="41">
        <f>SUM(C4:C4)</f>
        <v>2.54</v>
      </c>
      <c r="D5" s="41">
        <v>12</v>
      </c>
      <c r="E5" s="41"/>
      <c r="F5" s="41"/>
      <c r="G5" s="41"/>
    </row>
    <row r="7" ht="31.5">
      <c r="A7" s="49"/>
    </row>
    <row r="8" ht="31.5">
      <c r="A8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41673</v>
      </c>
      <c r="C1" s="31" t="s">
        <v>252</v>
      </c>
      <c r="D1" s="48">
        <v>35.75</v>
      </c>
      <c r="E1" s="28" t="s">
        <v>253</v>
      </c>
    </row>
    <row r="2" s="28" customFormat="1" ht="15">
      <c r="A2" s="46" t="s">
        <v>402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359</v>
      </c>
      <c r="B4" s="40">
        <v>12.98</v>
      </c>
      <c r="C4" s="40">
        <v>0.37</v>
      </c>
      <c r="D4" s="9">
        <f aca="true" t="shared" si="0" ref="D4:D9">C4/$C$10*$D$10</f>
        <v>1.6444444444444442</v>
      </c>
      <c r="E4" s="9">
        <f>(B4+D4)*$D$1</f>
        <v>522.8238888888889</v>
      </c>
      <c r="F4" s="39">
        <v>832</v>
      </c>
      <c r="G4" s="70">
        <f>-E4+F4</f>
        <v>309.17611111111114</v>
      </c>
    </row>
    <row r="5" spans="1:7" s="35" customFormat="1" ht="15">
      <c r="A5" s="9" t="s">
        <v>212</v>
      </c>
      <c r="B5" s="11">
        <v>32.01</v>
      </c>
      <c r="C5" s="11">
        <v>0.68</v>
      </c>
      <c r="D5" s="9">
        <f t="shared" si="0"/>
        <v>3.022222222222222</v>
      </c>
      <c r="E5" s="9">
        <f>(B5+D5)*$D$1</f>
        <v>1252.4019444444443</v>
      </c>
      <c r="F5" s="39">
        <v>1259</v>
      </c>
      <c r="G5" s="70">
        <f>-E5+F5</f>
        <v>6.598055555555675</v>
      </c>
    </row>
    <row r="6" spans="1:7" s="35" customFormat="1" ht="15">
      <c r="A6" s="9" t="s">
        <v>340</v>
      </c>
      <c r="B6" s="40">
        <v>11.86</v>
      </c>
      <c r="C6" s="64">
        <v>0.7</v>
      </c>
      <c r="D6" s="9">
        <f t="shared" si="0"/>
        <v>3.1111111111111107</v>
      </c>
      <c r="E6" s="9">
        <f>(B6+D6)*$D$1</f>
        <v>535.2172222222222</v>
      </c>
      <c r="F6" s="39">
        <v>544</v>
      </c>
      <c r="G6" s="70">
        <f>-E6+F6</f>
        <v>8.782777777777824</v>
      </c>
    </row>
    <row r="7" spans="1:7" s="35" customFormat="1" ht="15">
      <c r="A7" s="9" t="s">
        <v>286</v>
      </c>
      <c r="B7" s="11">
        <v>19</v>
      </c>
      <c r="C7" s="11">
        <v>0.12</v>
      </c>
      <c r="D7" s="9">
        <f t="shared" si="0"/>
        <v>0.5333333333333332</v>
      </c>
      <c r="E7" s="9">
        <f>(B7+D7)*$D$1</f>
        <v>698.3166666666666</v>
      </c>
      <c r="F7" s="39">
        <v>702</v>
      </c>
      <c r="G7" s="70">
        <f>-E7+F7</f>
        <v>3.683333333333394</v>
      </c>
    </row>
    <row r="8" spans="1:7" s="35" customFormat="1" ht="15">
      <c r="A8" s="9" t="s">
        <v>289</v>
      </c>
      <c r="B8" s="11">
        <v>8.54</v>
      </c>
      <c r="C8" s="40">
        <v>0.38</v>
      </c>
      <c r="D8" s="9">
        <f t="shared" si="0"/>
        <v>1.6888888888888887</v>
      </c>
      <c r="E8" s="9">
        <f>(B8+D8)*$D$1</f>
        <v>365.68277777777774</v>
      </c>
      <c r="F8" s="39">
        <v>372</v>
      </c>
      <c r="G8" s="70">
        <f>-E8+F8</f>
        <v>6.317222222222256</v>
      </c>
    </row>
    <row r="9" spans="1:7" s="35" customFormat="1" ht="15">
      <c r="A9" s="9" t="s">
        <v>260</v>
      </c>
      <c r="B9" s="40">
        <v>9.74</v>
      </c>
      <c r="C9" s="40">
        <v>0.45</v>
      </c>
      <c r="D9" s="9">
        <f t="shared" si="0"/>
        <v>2</v>
      </c>
      <c r="E9" s="51"/>
      <c r="F9" s="52"/>
      <c r="G9" s="71"/>
    </row>
    <row r="10" spans="1:7" s="43" customFormat="1" ht="15">
      <c r="A10" s="41"/>
      <c r="B10" s="41"/>
      <c r="C10" s="41">
        <f>SUM(C4:C9)</f>
        <v>2.7</v>
      </c>
      <c r="D10" s="41">
        <v>12</v>
      </c>
      <c r="E10" s="41"/>
      <c r="F10" s="41"/>
      <c r="G10" s="41"/>
    </row>
    <row r="12" ht="31.5">
      <c r="A12" s="49"/>
    </row>
    <row r="13" ht="31.5">
      <c r="A13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41674</v>
      </c>
      <c r="C1" s="31" t="s">
        <v>252</v>
      </c>
      <c r="D1" s="48">
        <v>35.19</v>
      </c>
      <c r="E1" s="28" t="s">
        <v>253</v>
      </c>
    </row>
    <row r="2" s="28" customFormat="1" ht="15">
      <c r="A2" s="46" t="s">
        <v>403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72</v>
      </c>
      <c r="B4" s="40">
        <v>11.56</v>
      </c>
      <c r="C4" s="40">
        <v>0.67</v>
      </c>
      <c r="D4" s="9">
        <f>C4/$C$9*$D$9</f>
        <v>2.988847583643122</v>
      </c>
      <c r="E4" s="9">
        <f>(B4+D4)*$D$1</f>
        <v>511.9739464684015</v>
      </c>
      <c r="F4" s="39">
        <v>526</v>
      </c>
      <c r="G4" s="70">
        <f>-E4+F4</f>
        <v>14.026053531598507</v>
      </c>
    </row>
    <row r="5" spans="1:7" s="35" customFormat="1" ht="15">
      <c r="A5" s="9" t="s">
        <v>84</v>
      </c>
      <c r="B5" s="40">
        <v>25.43</v>
      </c>
      <c r="C5" s="64">
        <v>0.67</v>
      </c>
      <c r="D5" s="9">
        <f>C5/$C$9*$D$9</f>
        <v>2.988847583643122</v>
      </c>
      <c r="E5" s="9">
        <f>(B5+D5)*$D$1</f>
        <v>1000.0592464684014</v>
      </c>
      <c r="F5" s="39">
        <v>1027</v>
      </c>
      <c r="G5" s="70">
        <f>-E5+F5</f>
        <v>26.940753531598602</v>
      </c>
    </row>
    <row r="6" spans="1:7" s="35" customFormat="1" ht="15">
      <c r="A6" s="9" t="s">
        <v>359</v>
      </c>
      <c r="B6" s="40">
        <v>6.97</v>
      </c>
      <c r="C6" s="40">
        <v>0.32</v>
      </c>
      <c r="D6" s="9">
        <f>C6/$C$9*$D$9</f>
        <v>1.427509293680297</v>
      </c>
      <c r="E6" s="9">
        <f>(B6+D6)*$D$1</f>
        <v>295.50835204460964</v>
      </c>
      <c r="F6" s="39"/>
      <c r="G6" s="70">
        <f>-E6+F6</f>
        <v>-295.50835204460964</v>
      </c>
    </row>
    <row r="7" spans="1:7" s="35" customFormat="1" ht="15">
      <c r="A7" s="9" t="s">
        <v>115</v>
      </c>
      <c r="B7" s="11">
        <v>48.22</v>
      </c>
      <c r="C7" s="40">
        <v>0.54</v>
      </c>
      <c r="D7" s="9">
        <f>C7/$C$9*$D$9</f>
        <v>2.4089219330855016</v>
      </c>
      <c r="E7" s="9">
        <f>(B7+D7)*$D$1</f>
        <v>1781.6317628252787</v>
      </c>
      <c r="F7" s="39">
        <v>1831</v>
      </c>
      <c r="G7" s="70">
        <f>-E7+F7</f>
        <v>49.368237174721344</v>
      </c>
    </row>
    <row r="8" spans="1:7" s="35" customFormat="1" ht="15">
      <c r="A8" s="9" t="s">
        <v>260</v>
      </c>
      <c r="B8" s="64">
        <v>5.81</v>
      </c>
      <c r="C8" s="64">
        <v>0.49</v>
      </c>
      <c r="D8" s="9">
        <f>C8/$C$9*$D$9</f>
        <v>2.185873605947955</v>
      </c>
      <c r="E8" s="51"/>
      <c r="F8" s="52"/>
      <c r="G8" s="71"/>
    </row>
    <row r="9" spans="1:7" s="43" customFormat="1" ht="15">
      <c r="A9" s="41"/>
      <c r="B9" s="41"/>
      <c r="C9" s="41">
        <f>SUM(C4:C8)</f>
        <v>2.6900000000000004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indexed="10"/>
  </sheetPr>
  <dimension ref="A1:H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  <col min="8" max="8" width="17.8515625" style="0" customWidth="1"/>
  </cols>
  <sheetData>
    <row r="1" spans="1:5" s="28" customFormat="1" ht="21">
      <c r="A1" s="29" t="s">
        <v>251</v>
      </c>
      <c r="B1" s="30">
        <v>41674</v>
      </c>
      <c r="C1" s="31" t="s">
        <v>252</v>
      </c>
      <c r="D1" s="48">
        <v>35.19</v>
      </c>
      <c r="E1" s="28" t="s">
        <v>253</v>
      </c>
    </row>
    <row r="2" s="28" customFormat="1" ht="15">
      <c r="A2" s="46" t="s">
        <v>403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8" s="35" customFormat="1" ht="60">
      <c r="A4" s="9" t="s">
        <v>156</v>
      </c>
      <c r="B4" s="40">
        <v>83.64</v>
      </c>
      <c r="C4" s="40">
        <v>1.77</v>
      </c>
      <c r="D4" s="9">
        <f>C4/$C$6*$D$6</f>
        <v>8.076045627376425</v>
      </c>
      <c r="E4" s="39">
        <f>(B4+D4)*$D$1</f>
        <v>3227.4876456273764</v>
      </c>
      <c r="F4" s="39">
        <f>6000+100-350+62</f>
        <v>5812</v>
      </c>
      <c r="G4" s="70">
        <f>-E4+F4</f>
        <v>2584.5123543726236</v>
      </c>
      <c r="H4" s="35" t="s">
        <v>404</v>
      </c>
    </row>
    <row r="5" spans="1:7" s="35" customFormat="1" ht="15">
      <c r="A5" s="9" t="s">
        <v>260</v>
      </c>
      <c r="B5" s="40">
        <v>14.42</v>
      </c>
      <c r="C5" s="40">
        <v>0.86</v>
      </c>
      <c r="D5" s="9">
        <f>C5/$C$6*$D$6</f>
        <v>3.9239543726235744</v>
      </c>
      <c r="E5" s="51"/>
      <c r="F5" s="52"/>
      <c r="G5" s="71"/>
    </row>
    <row r="6" spans="1:7" s="43" customFormat="1" ht="15">
      <c r="A6" s="41"/>
      <c r="B6" s="41"/>
      <c r="C6" s="41">
        <f>SUM(C4:C5)</f>
        <v>2.63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41682</v>
      </c>
      <c r="C1" s="31" t="s">
        <v>252</v>
      </c>
      <c r="D1" s="48">
        <v>35.46</v>
      </c>
      <c r="E1" s="28" t="s">
        <v>253</v>
      </c>
    </row>
    <row r="2" s="28" customFormat="1" ht="15">
      <c r="A2" s="46" t="s">
        <v>405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340</v>
      </c>
      <c r="B4" s="64">
        <v>6.29</v>
      </c>
      <c r="C4" s="64">
        <v>0.35</v>
      </c>
      <c r="D4" s="9">
        <f aca="true" t="shared" si="0" ref="D4:D9">C4/$C$10*$D$10</f>
        <v>1.5671641791044775</v>
      </c>
      <c r="E4" s="9">
        <f>(B4+D4)*$D$1</f>
        <v>278.6150417910448</v>
      </c>
      <c r="F4" s="39">
        <v>279</v>
      </c>
      <c r="G4" s="70">
        <f>-E4+F4</f>
        <v>0.3849582089551973</v>
      </c>
    </row>
    <row r="5" spans="1:7" s="35" customFormat="1" ht="15">
      <c r="A5" s="9" t="s">
        <v>156</v>
      </c>
      <c r="B5" s="40">
        <v>51.58</v>
      </c>
      <c r="C5" s="40">
        <v>1.04</v>
      </c>
      <c r="D5" s="9">
        <f t="shared" si="0"/>
        <v>4.656716417910448</v>
      </c>
      <c r="E5" s="9">
        <f>(B5+D5)*$D$1</f>
        <v>1994.1539641791044</v>
      </c>
      <c r="F5" s="39"/>
      <c r="G5" s="70">
        <f>-E5+F5</f>
        <v>-1994.1539641791044</v>
      </c>
    </row>
    <row r="6" spans="1:7" s="35" customFormat="1" ht="15">
      <c r="A6" s="9" t="s">
        <v>150</v>
      </c>
      <c r="B6" s="64">
        <v>5.58</v>
      </c>
      <c r="C6" s="64">
        <v>0.05</v>
      </c>
      <c r="D6" s="9">
        <f t="shared" si="0"/>
        <v>0.22388059701492535</v>
      </c>
      <c r="E6" s="9">
        <f>(B6+D6)*$D$1</f>
        <v>205.8056059701493</v>
      </c>
      <c r="F6" s="39">
        <v>202</v>
      </c>
      <c r="G6" s="70">
        <f>-E6+F6</f>
        <v>-3.805605970149287</v>
      </c>
    </row>
    <row r="7" spans="1:7" s="35" customFormat="1" ht="15">
      <c r="A7" s="9" t="s">
        <v>27</v>
      </c>
      <c r="B7" s="64">
        <v>7.99</v>
      </c>
      <c r="C7" s="64">
        <v>0.11</v>
      </c>
      <c r="D7" s="9">
        <f t="shared" si="0"/>
        <v>0.4925373134328358</v>
      </c>
      <c r="E7" s="9">
        <f>(B7+D7)*$D$1</f>
        <v>300.7907731343284</v>
      </c>
      <c r="F7" s="39">
        <v>285</v>
      </c>
      <c r="G7" s="70">
        <f>-E7+F7</f>
        <v>-15.79077313432839</v>
      </c>
    </row>
    <row r="8" spans="1:7" s="35" customFormat="1" ht="15">
      <c r="A8" s="9" t="s">
        <v>96</v>
      </c>
      <c r="B8" s="40">
        <v>7.57</v>
      </c>
      <c r="C8" s="40">
        <v>0.43</v>
      </c>
      <c r="D8" s="9">
        <f t="shared" si="0"/>
        <v>1.9253731343283582</v>
      </c>
      <c r="E8" s="9">
        <f>(B8+D8)*$D$1</f>
        <v>336.7059313432836</v>
      </c>
      <c r="F8" s="39">
        <v>337</v>
      </c>
      <c r="G8" s="70">
        <f>-E8+F8</f>
        <v>0.2940686567163766</v>
      </c>
    </row>
    <row r="9" spans="1:7" s="35" customFormat="1" ht="15">
      <c r="A9" s="9" t="s">
        <v>260</v>
      </c>
      <c r="B9" s="64">
        <v>19.33</v>
      </c>
      <c r="C9" s="64">
        <v>0.7</v>
      </c>
      <c r="D9" s="9">
        <f t="shared" si="0"/>
        <v>3.134328358208955</v>
      </c>
      <c r="E9" s="51"/>
      <c r="F9" s="52"/>
      <c r="G9" s="71"/>
    </row>
    <row r="10" spans="1:7" s="43" customFormat="1" ht="15">
      <c r="A10" s="41"/>
      <c r="B10" s="41"/>
      <c r="C10" s="41">
        <f>SUM(C4:C9)</f>
        <v>2.68</v>
      </c>
      <c r="D10" s="41">
        <v>12</v>
      </c>
      <c r="E10" s="41"/>
      <c r="F10" s="41"/>
      <c r="G10" s="41"/>
    </row>
    <row r="12" ht="31.5">
      <c r="A12" s="49"/>
    </row>
    <row r="13" ht="31.5">
      <c r="A13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41682</v>
      </c>
      <c r="C1" s="31" t="s">
        <v>252</v>
      </c>
      <c r="D1" s="48">
        <v>35.46</v>
      </c>
      <c r="E1" s="28" t="s">
        <v>253</v>
      </c>
    </row>
    <row r="2" s="28" customFormat="1" ht="15">
      <c r="A2" s="46" t="s">
        <v>405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289</v>
      </c>
      <c r="B4" s="64">
        <v>10.94</v>
      </c>
      <c r="C4" s="64">
        <v>0.3</v>
      </c>
      <c r="D4" s="9">
        <f>C4/$C$8*$D$8</f>
        <v>1.3793103448275863</v>
      </c>
      <c r="E4" s="9">
        <f>(B4+D4)*$D$1</f>
        <v>436.84274482758616</v>
      </c>
      <c r="F4" s="39">
        <v>437</v>
      </c>
      <c r="G4" s="70">
        <f>-E4+F4</f>
        <v>0.15725517241384068</v>
      </c>
    </row>
    <row r="5" spans="1:7" s="35" customFormat="1" ht="15">
      <c r="A5" s="9" t="s">
        <v>73</v>
      </c>
      <c r="B5" s="40">
        <v>38.54</v>
      </c>
      <c r="C5" s="40">
        <v>0.72</v>
      </c>
      <c r="D5" s="9">
        <f>C5/$C$8*$D$8</f>
        <v>3.310344827586207</v>
      </c>
      <c r="E5" s="9">
        <f>(B5+D5)*$D$1</f>
        <v>1484.013227586207</v>
      </c>
      <c r="F5" s="39">
        <v>1486</v>
      </c>
      <c r="G5" s="70">
        <f>-E5+F5</f>
        <v>1.9867724137930054</v>
      </c>
    </row>
    <row r="6" spans="1:7" s="35" customFormat="1" ht="15">
      <c r="A6" s="9" t="s">
        <v>174</v>
      </c>
      <c r="B6" s="64">
        <v>43.34</v>
      </c>
      <c r="C6" s="64">
        <v>1.56</v>
      </c>
      <c r="D6" s="9">
        <f>C6/$C$8*$D$8</f>
        <v>7.172413793103448</v>
      </c>
      <c r="E6" s="9">
        <f>(B6+D6)*$D$1</f>
        <v>1791.1701931034484</v>
      </c>
      <c r="F6" s="39">
        <v>1793</v>
      </c>
      <c r="G6" s="70">
        <f>-E6+F6</f>
        <v>1.829806896551645</v>
      </c>
    </row>
    <row r="7" spans="1:7" s="35" customFormat="1" ht="15">
      <c r="A7" s="9" t="s">
        <v>406</v>
      </c>
      <c r="B7" s="64">
        <v>5.99</v>
      </c>
      <c r="C7" s="64">
        <v>0.03</v>
      </c>
      <c r="D7" s="9">
        <f>C7/$C$8*$D$8</f>
        <v>0.13793103448275862</v>
      </c>
      <c r="E7" s="9">
        <f>(B7+D7)*$D$1</f>
        <v>217.29643448275866</v>
      </c>
      <c r="F7" s="39">
        <v>217</v>
      </c>
      <c r="G7" s="70">
        <f>-E7+F7</f>
        <v>-0.2964344827586558</v>
      </c>
    </row>
    <row r="8" spans="1:7" s="43" customFormat="1" ht="15">
      <c r="A8" s="41"/>
      <c r="B8" s="41"/>
      <c r="C8" s="41">
        <f>SUM(C4:C7)</f>
        <v>2.61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indexed="10"/>
  </sheetPr>
  <dimension ref="A1:I12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  <col min="8" max="8" width="10.8515625" style="0" customWidth="1"/>
  </cols>
  <sheetData>
    <row r="1" spans="1:5" s="28" customFormat="1" ht="21">
      <c r="A1" s="29" t="s">
        <v>251</v>
      </c>
      <c r="B1" s="30">
        <v>41690</v>
      </c>
      <c r="C1" s="31" t="s">
        <v>252</v>
      </c>
      <c r="D1" s="48">
        <v>36.3</v>
      </c>
      <c r="E1" s="28" t="s">
        <v>253</v>
      </c>
    </row>
    <row r="2" s="28" customFormat="1" ht="15">
      <c r="A2" s="46" t="s">
        <v>407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75" t="s">
        <v>408</v>
      </c>
      <c r="B4" s="64">
        <v>43.57</v>
      </c>
      <c r="C4" s="64">
        <v>0.62</v>
      </c>
      <c r="D4" s="9">
        <f>C4/$C$9*$D$9</f>
        <v>2.745387453874539</v>
      </c>
      <c r="E4" s="9">
        <f>(B4+D4)*$D$1</f>
        <v>1681.2485645756456</v>
      </c>
      <c r="F4" s="39">
        <v>1690</v>
      </c>
      <c r="G4" s="70">
        <f>-E4+F4</f>
        <v>8.75143542435444</v>
      </c>
    </row>
    <row r="5" spans="1:7" s="35" customFormat="1" ht="15">
      <c r="A5" s="9" t="s">
        <v>55</v>
      </c>
      <c r="B5" s="40">
        <v>12.02</v>
      </c>
      <c r="C5" s="40">
        <v>0.65</v>
      </c>
      <c r="D5" s="9">
        <f>C5/$C$9*$D$9</f>
        <v>2.878228782287823</v>
      </c>
      <c r="E5" s="9">
        <f>(B5+D5)*$D$1</f>
        <v>540.805704797048</v>
      </c>
      <c r="F5" s="39">
        <f>260+284</f>
        <v>544</v>
      </c>
      <c r="G5" s="70">
        <f>-E5+F5</f>
        <v>3.1942952029520484</v>
      </c>
    </row>
    <row r="6" spans="1:9" s="35" customFormat="1" ht="45">
      <c r="A6" s="9" t="s">
        <v>156</v>
      </c>
      <c r="B6" s="11">
        <v>6.46</v>
      </c>
      <c r="C6" s="11">
        <v>0.11</v>
      </c>
      <c r="D6" s="9">
        <f>C6/$C$9*$D$9</f>
        <v>0.48708487084870844</v>
      </c>
      <c r="E6" s="9">
        <f>(B6+D6)*$D$1</f>
        <v>252.1791808118081</v>
      </c>
      <c r="F6" s="39"/>
      <c r="G6" s="70">
        <f>-E6+F6</f>
        <v>-252.1791808118081</v>
      </c>
      <c r="H6" s="78" t="s">
        <v>409</v>
      </c>
      <c r="I6" s="79" t="s">
        <v>410</v>
      </c>
    </row>
    <row r="7" spans="1:9" s="35" customFormat="1" ht="15">
      <c r="A7" s="9" t="s">
        <v>411</v>
      </c>
      <c r="B7" s="64">
        <v>13.4</v>
      </c>
      <c r="C7" s="64">
        <v>0.19</v>
      </c>
      <c r="D7" s="9">
        <f>C7/$C$9*$D$9</f>
        <v>0.841328413284133</v>
      </c>
      <c r="E7" s="9">
        <f>(B7+D7)*$D$1</f>
        <v>516.960221402214</v>
      </c>
      <c r="F7" s="39">
        <v>505</v>
      </c>
      <c r="G7" s="70">
        <f>-E7+F7</f>
        <v>-11.96022140221396</v>
      </c>
      <c r="H7" s="80" t="s">
        <v>412</v>
      </c>
      <c r="I7" s="81" t="s">
        <v>413</v>
      </c>
    </row>
    <row r="8" spans="1:9" s="35" customFormat="1" ht="45">
      <c r="A8" s="9" t="s">
        <v>260</v>
      </c>
      <c r="B8" s="64">
        <v>16.71</v>
      </c>
      <c r="C8" s="64">
        <v>1.14</v>
      </c>
      <c r="D8" s="9">
        <f>C8/$C$9*$D$9</f>
        <v>5.047970479704796</v>
      </c>
      <c r="E8" s="51"/>
      <c r="F8" s="52"/>
      <c r="G8" s="71"/>
      <c r="H8" s="80" t="s">
        <v>414</v>
      </c>
      <c r="I8" s="80"/>
    </row>
    <row r="9" spans="1:7" s="43" customFormat="1" ht="15">
      <c r="A9" s="41"/>
      <c r="B9" s="41"/>
      <c r="C9" s="41">
        <f>SUM(C4:C8)</f>
        <v>2.71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 selectLockedCells="1" selectUnlockedCells="1"/>
  <hyperlinks>
    <hyperlink ref="I6" r:id="rId1" display="http://ru.iherb.com/alba-botanica-hawaiian-anti-frizz-serum-2-fl-oz-59-ml/53015"/>
    <hyperlink ref="I7" r:id="rId2" display="http://www.iherb.com/Hyalogic-LLC-Episilk-Lip-Balm-with-Hyaluronic-Acid-1-2-fl-oz-14-g/38457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41690</v>
      </c>
      <c r="C1" s="31" t="s">
        <v>252</v>
      </c>
      <c r="D1" s="48">
        <v>36.3</v>
      </c>
      <c r="E1" s="28" t="s">
        <v>253</v>
      </c>
    </row>
    <row r="2" s="28" customFormat="1" ht="15">
      <c r="A2" s="46" t="s">
        <v>407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154</v>
      </c>
      <c r="B4" s="40">
        <v>5.79</v>
      </c>
      <c r="C4" s="40">
        <v>0.11</v>
      </c>
      <c r="D4" s="9">
        <f>C4/$C$7*$D$7</f>
        <v>0.49624060150375937</v>
      </c>
      <c r="E4" s="9">
        <f>(B4+D4)*$D$1</f>
        <v>228.19053383458643</v>
      </c>
      <c r="F4" s="39">
        <v>234</v>
      </c>
      <c r="G4" s="70">
        <f>-E4+F4</f>
        <v>5.809466165413568</v>
      </c>
    </row>
    <row r="5" spans="1:7" s="35" customFormat="1" ht="15">
      <c r="A5" s="9" t="s">
        <v>19</v>
      </c>
      <c r="B5" s="40">
        <v>64.59</v>
      </c>
      <c r="C5" s="40">
        <v>1.33</v>
      </c>
      <c r="D5" s="9">
        <f>C5/$C$7*$D$7</f>
        <v>6</v>
      </c>
      <c r="E5" s="9">
        <f>(B5+D5)*$D$1</f>
        <v>2562.417</v>
      </c>
      <c r="F5" s="39">
        <v>2575</v>
      </c>
      <c r="G5" s="70">
        <f>-E5+F5</f>
        <v>12.583000000000084</v>
      </c>
    </row>
    <row r="6" spans="1:7" s="35" customFormat="1" ht="15">
      <c r="A6" s="9" t="s">
        <v>260</v>
      </c>
      <c r="B6" s="64">
        <v>27.08</v>
      </c>
      <c r="C6" s="64">
        <v>1.22</v>
      </c>
      <c r="D6" s="9">
        <f>C6/$C$7*$D$7</f>
        <v>5.50375939849624</v>
      </c>
      <c r="E6" s="51"/>
      <c r="F6" s="52"/>
      <c r="G6" s="71"/>
    </row>
    <row r="7" spans="1:7" s="43" customFormat="1" ht="15">
      <c r="A7" s="41"/>
      <c r="B7" s="41"/>
      <c r="C7" s="41">
        <f>SUM(C4:C6)</f>
        <v>2.66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41693</v>
      </c>
      <c r="C1" s="31" t="s">
        <v>252</v>
      </c>
      <c r="D1" s="48">
        <v>36.17</v>
      </c>
      <c r="E1" s="28" t="s">
        <v>253</v>
      </c>
    </row>
    <row r="2" s="28" customFormat="1" ht="15">
      <c r="A2" s="46" t="s">
        <v>415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208</v>
      </c>
      <c r="B4" s="40">
        <v>81.19</v>
      </c>
      <c r="C4" s="40">
        <v>1.51</v>
      </c>
      <c r="D4" s="9">
        <v>10</v>
      </c>
      <c r="E4" s="9">
        <f>(B4+D4)*$D$1</f>
        <v>3298.3423000000003</v>
      </c>
      <c r="F4" s="39">
        <v>3210</v>
      </c>
      <c r="G4" s="70">
        <f>-E4+F4</f>
        <v>-88.34230000000025</v>
      </c>
    </row>
    <row r="5" spans="1:7" s="43" customFormat="1" ht="15">
      <c r="A5" s="41"/>
      <c r="B5" s="41"/>
      <c r="C5" s="41">
        <f>SUM(C4:C4)</f>
        <v>1.51</v>
      </c>
      <c r="D5" s="41">
        <v>12</v>
      </c>
      <c r="E5" s="41"/>
      <c r="F5" s="41"/>
      <c r="G5" s="41"/>
    </row>
    <row r="7" ht="31.5">
      <c r="A7" s="49" t="s">
        <v>416</v>
      </c>
    </row>
    <row r="8" ht="31.5">
      <c r="A8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G6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41219</v>
      </c>
      <c r="C1" s="31" t="s">
        <v>252</v>
      </c>
      <c r="D1" s="32">
        <f>31.30331</f>
        <v>31.30331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216</v>
      </c>
      <c r="B4" s="9">
        <v>52.56</v>
      </c>
      <c r="C4" s="9">
        <v>1.06</v>
      </c>
      <c r="D4" s="9">
        <f>C4/$C$6*$D$6</f>
        <v>2.7790262172284645</v>
      </c>
      <c r="E4" s="9">
        <f>(B4+D4)*$D$1</f>
        <v>1732.29469277603</v>
      </c>
      <c r="F4" s="39">
        <v>1757</v>
      </c>
      <c r="G4" s="39">
        <f>-E4+F4</f>
        <v>24.705307223970067</v>
      </c>
    </row>
    <row r="5" spans="1:7" s="35" customFormat="1" ht="15">
      <c r="A5" s="9" t="s">
        <v>260</v>
      </c>
      <c r="B5" s="9">
        <v>19.02</v>
      </c>
      <c r="C5" s="9">
        <v>1.61</v>
      </c>
      <c r="D5" s="9">
        <f>C5/$C$6*$D$6</f>
        <v>4.2209737827715355</v>
      </c>
      <c r="E5" s="9">
        <f>(B5+D5)*$D$1</f>
        <v>727.51940702397</v>
      </c>
      <c r="F5" s="39"/>
      <c r="G5" s="39"/>
    </row>
    <row r="6" spans="1:7" ht="15">
      <c r="A6" s="36"/>
      <c r="B6" s="36"/>
      <c r="C6" s="41">
        <f>SUM(C4:C5)</f>
        <v>2.67</v>
      </c>
      <c r="D6" s="41">
        <v>7</v>
      </c>
      <c r="E6" s="36"/>
      <c r="F6" s="36"/>
      <c r="G6" s="3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41698</v>
      </c>
      <c r="C1" s="31" t="s">
        <v>252</v>
      </c>
      <c r="D1" s="48">
        <v>36.62</v>
      </c>
      <c r="E1" s="28" t="s">
        <v>253</v>
      </c>
    </row>
    <row r="2" s="28" customFormat="1" ht="15">
      <c r="A2" s="46" t="s">
        <v>417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162</v>
      </c>
      <c r="B4" s="64">
        <v>8.34</v>
      </c>
      <c r="C4" s="64">
        <v>0.16</v>
      </c>
      <c r="D4" s="9">
        <f aca="true" t="shared" si="0" ref="D4:D9">C4/$C$10*$D$10</f>
        <v>0.7191011235955056</v>
      </c>
      <c r="E4" s="9">
        <f>(B4+D4)*$D$1</f>
        <v>331.7442831460674</v>
      </c>
      <c r="F4" s="39">
        <v>333</v>
      </c>
      <c r="G4" s="70">
        <f>-E4+F4</f>
        <v>1.2557168539325971</v>
      </c>
    </row>
    <row r="5" spans="1:7" s="35" customFormat="1" ht="15">
      <c r="A5" s="9" t="s">
        <v>106</v>
      </c>
      <c r="B5" s="40">
        <v>28.9</v>
      </c>
      <c r="C5" s="40">
        <v>0.56</v>
      </c>
      <c r="D5" s="9">
        <f t="shared" si="0"/>
        <v>2.5168539325842696</v>
      </c>
      <c r="E5" s="9">
        <f>(B5+D5)*$D$1</f>
        <v>1150.4851910112359</v>
      </c>
      <c r="F5" s="39">
        <f>1155+49</f>
        <v>1204</v>
      </c>
      <c r="G5" s="70">
        <f>-E5+F5</f>
        <v>53.514808988764116</v>
      </c>
    </row>
    <row r="6" spans="1:7" s="35" customFormat="1" ht="15">
      <c r="A6" s="9" t="s">
        <v>172</v>
      </c>
      <c r="B6" s="64">
        <v>25.16</v>
      </c>
      <c r="C6" s="64">
        <v>0.16</v>
      </c>
      <c r="D6" s="9">
        <f t="shared" si="0"/>
        <v>0.7191011235955056</v>
      </c>
      <c r="E6" s="9">
        <f>(B6+D6)*$D$1</f>
        <v>947.6926831460673</v>
      </c>
      <c r="F6" s="39">
        <v>850</v>
      </c>
      <c r="G6" s="70">
        <f>-E6+F6</f>
        <v>-97.69268314606734</v>
      </c>
    </row>
    <row r="7" spans="1:7" s="35" customFormat="1" ht="15">
      <c r="A7" s="9" t="s">
        <v>359</v>
      </c>
      <c r="B7" s="82">
        <v>11.19</v>
      </c>
      <c r="C7" s="64">
        <v>1.18</v>
      </c>
      <c r="D7" s="9">
        <f t="shared" si="0"/>
        <v>5.303370786516854</v>
      </c>
      <c r="E7" s="9">
        <f>(B7+D7)*$D$1</f>
        <v>603.9872382022471</v>
      </c>
      <c r="F7" s="39">
        <v>606</v>
      </c>
      <c r="G7" s="70">
        <f>-E7+F7</f>
        <v>2.012761797752887</v>
      </c>
    </row>
    <row r="8" spans="1:7" s="35" customFormat="1" ht="15">
      <c r="A8" s="9" t="s">
        <v>39</v>
      </c>
      <c r="B8" s="40">
        <v>7.09</v>
      </c>
      <c r="C8" s="40">
        <v>0.32</v>
      </c>
      <c r="D8" s="9">
        <f t="shared" si="0"/>
        <v>1.4382022471910112</v>
      </c>
      <c r="E8" s="9">
        <f>(B8+D8)*$D$1</f>
        <v>312.3027662921348</v>
      </c>
      <c r="F8" s="39">
        <v>314</v>
      </c>
      <c r="G8" s="70">
        <f>-E8+F8</f>
        <v>1.697233707865223</v>
      </c>
    </row>
    <row r="9" spans="1:7" s="35" customFormat="1" ht="15">
      <c r="A9" s="9" t="s">
        <v>260</v>
      </c>
      <c r="B9" s="64">
        <v>15.97</v>
      </c>
      <c r="C9" s="64">
        <v>0.29</v>
      </c>
      <c r="D9" s="9">
        <f t="shared" si="0"/>
        <v>1.303370786516854</v>
      </c>
      <c r="E9" s="51"/>
      <c r="F9" s="52"/>
      <c r="G9" s="71"/>
    </row>
    <row r="10" spans="1:7" s="43" customFormat="1" ht="15">
      <c r="A10" s="41"/>
      <c r="B10" s="41"/>
      <c r="C10" s="41">
        <f>SUM(C4:C9)</f>
        <v>2.67</v>
      </c>
      <c r="D10" s="41">
        <v>12</v>
      </c>
      <c r="E10" s="41"/>
      <c r="F10" s="41"/>
      <c r="G10" s="41"/>
    </row>
    <row r="12" ht="31.5">
      <c r="A12" s="49"/>
    </row>
    <row r="13" ht="31.5">
      <c r="A13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41698</v>
      </c>
      <c r="C1" s="31" t="s">
        <v>252</v>
      </c>
      <c r="D1" s="48">
        <v>36.62</v>
      </c>
      <c r="E1" s="28" t="s">
        <v>253</v>
      </c>
    </row>
    <row r="2" s="28" customFormat="1" ht="15">
      <c r="A2" s="46" t="s">
        <v>417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73</v>
      </c>
      <c r="B4" s="64">
        <v>41.94</v>
      </c>
      <c r="C4" s="64">
        <v>0.54</v>
      </c>
      <c r="D4" s="9">
        <f>C4/$C$8*$D$8</f>
        <v>2.4923076923076923</v>
      </c>
      <c r="E4" s="9">
        <f>(B4+D4)*$D$1</f>
        <v>1627.1111076923075</v>
      </c>
      <c r="F4" s="39">
        <v>1634</v>
      </c>
      <c r="G4" s="70">
        <f>-E4+F4</f>
        <v>6.888892307692458</v>
      </c>
    </row>
    <row r="5" spans="1:7" s="35" customFormat="1" ht="15">
      <c r="A5" s="9" t="s">
        <v>411</v>
      </c>
      <c r="B5" s="11">
        <v>5.56</v>
      </c>
      <c r="C5" s="11">
        <v>0.05</v>
      </c>
      <c r="D5" s="9">
        <f>C5/$C$8*$D$8</f>
        <v>0.23076923076923078</v>
      </c>
      <c r="E5" s="9">
        <f>(B5+D5)*$D$1</f>
        <v>212.0579692307692</v>
      </c>
      <c r="F5" s="39">
        <v>212</v>
      </c>
      <c r="G5" s="70">
        <f>-E5+F5</f>
        <v>-0.057969230769202795</v>
      </c>
    </row>
    <row r="6" spans="1:7" s="35" customFormat="1" ht="15">
      <c r="A6" s="9" t="s">
        <v>161</v>
      </c>
      <c r="B6" s="11">
        <v>8.6</v>
      </c>
      <c r="C6" s="64">
        <v>0.48</v>
      </c>
      <c r="D6" s="9">
        <f>C6/$C$8*$D$8</f>
        <v>2.215384615384615</v>
      </c>
      <c r="E6" s="9">
        <f>(B6+D6)*$D$1</f>
        <v>396.05938461538454</v>
      </c>
      <c r="F6" s="39">
        <v>380</v>
      </c>
      <c r="G6" s="70">
        <f>-E6+F6</f>
        <v>-16.059384615384545</v>
      </c>
    </row>
    <row r="7" spans="1:7" s="35" customFormat="1" ht="15">
      <c r="A7" s="9" t="s">
        <v>260</v>
      </c>
      <c r="B7" s="64">
        <v>42.51</v>
      </c>
      <c r="C7" s="64">
        <v>1.53</v>
      </c>
      <c r="D7" s="9">
        <f>C7/$C$8*$D$8</f>
        <v>7.061538461538461</v>
      </c>
      <c r="E7" s="51"/>
      <c r="F7" s="52"/>
      <c r="G7" s="71"/>
    </row>
    <row r="8" spans="1:7" s="43" customFormat="1" ht="15">
      <c r="A8" s="41"/>
      <c r="B8" s="41"/>
      <c r="C8" s="41">
        <f>SUM(C4:C7)</f>
        <v>2.6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41705</v>
      </c>
      <c r="C1" s="31" t="s">
        <v>252</v>
      </c>
      <c r="D1" s="48">
        <v>36.88</v>
      </c>
      <c r="E1" s="28" t="s">
        <v>253</v>
      </c>
    </row>
    <row r="2" s="28" customFormat="1" ht="15">
      <c r="A2" s="46" t="s">
        <v>418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350</v>
      </c>
      <c r="B4" s="82">
        <v>18.85</v>
      </c>
      <c r="C4" s="83">
        <v>0.08</v>
      </c>
      <c r="D4" s="9">
        <f>C4/$C$9*$D$9</f>
        <v>0.37209302325581395</v>
      </c>
      <c r="E4" s="9">
        <f>(B4+D4)*$D$1</f>
        <v>708.9107906976745</v>
      </c>
      <c r="F4" s="39"/>
      <c r="G4" s="70">
        <f>-E4+F4</f>
        <v>-708.9107906976745</v>
      </c>
    </row>
    <row r="5" spans="1:7" s="35" customFormat="1" ht="15">
      <c r="A5" s="9" t="s">
        <v>143</v>
      </c>
      <c r="B5" s="11">
        <v>34.39</v>
      </c>
      <c r="C5" s="11">
        <v>0.81</v>
      </c>
      <c r="D5" s="9">
        <f>C5/$C$9*$D$9</f>
        <v>3.7674418604651163</v>
      </c>
      <c r="E5" s="9">
        <f>(B5+D5)*$D$1</f>
        <v>1407.2464558139536</v>
      </c>
      <c r="F5" s="39">
        <v>1375</v>
      </c>
      <c r="G5" s="70">
        <f>-E5+F5</f>
        <v>-32.24645581395362</v>
      </c>
    </row>
    <row r="6" spans="1:7" s="35" customFormat="1" ht="15">
      <c r="A6" s="9" t="s">
        <v>154</v>
      </c>
      <c r="B6" s="11">
        <v>13.47</v>
      </c>
      <c r="C6" s="11">
        <v>0.37</v>
      </c>
      <c r="D6" s="9">
        <f>C6/$C$9*$D$9</f>
        <v>1.7209302325581395</v>
      </c>
      <c r="E6" s="9">
        <f>(B6+D6)*$D$1</f>
        <v>560.2415069767442</v>
      </c>
      <c r="F6" s="39">
        <v>559</v>
      </c>
      <c r="G6" s="70">
        <f>-E6+F6</f>
        <v>-1.2415069767441764</v>
      </c>
    </row>
    <row r="7" spans="1:7" s="35" customFormat="1" ht="15">
      <c r="A7" s="9" t="s">
        <v>419</v>
      </c>
      <c r="B7" s="11">
        <v>19.07</v>
      </c>
      <c r="C7" s="64">
        <v>0.68</v>
      </c>
      <c r="D7" s="9">
        <f>C7/$C$9*$D$9</f>
        <v>3.162790697674419</v>
      </c>
      <c r="E7" s="9">
        <f>(B7+D7)*$D$1</f>
        <v>819.9453209302326</v>
      </c>
      <c r="F7" s="39"/>
      <c r="G7" s="70">
        <f>-E7+F7</f>
        <v>-819.9453209302326</v>
      </c>
    </row>
    <row r="8" spans="1:7" s="35" customFormat="1" ht="15">
      <c r="A8" s="9" t="s">
        <v>260</v>
      </c>
      <c r="B8" s="64">
        <v>11.8</v>
      </c>
      <c r="C8" s="64">
        <v>0.64</v>
      </c>
      <c r="D8" s="9">
        <f>C8/$C$9*$D$9</f>
        <v>2.9767441860465116</v>
      </c>
      <c r="E8" s="51"/>
      <c r="F8" s="52"/>
      <c r="G8" s="71"/>
    </row>
    <row r="9" spans="1:7" s="43" customFormat="1" ht="15">
      <c r="A9" s="41"/>
      <c r="B9" s="41"/>
      <c r="C9" s="41">
        <f>SUM(C4:C8)</f>
        <v>2.58</v>
      </c>
      <c r="D9" s="41">
        <v>12</v>
      </c>
      <c r="E9" s="41"/>
      <c r="F9" s="41"/>
      <c r="G9" s="41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41705</v>
      </c>
      <c r="C1" s="31" t="s">
        <v>252</v>
      </c>
      <c r="D1" s="48">
        <v>36.88</v>
      </c>
      <c r="E1" s="28" t="s">
        <v>253</v>
      </c>
    </row>
    <row r="2" s="28" customFormat="1" ht="15">
      <c r="A2" s="46" t="s">
        <v>418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420</v>
      </c>
      <c r="B4" s="64">
        <v>23.76</v>
      </c>
      <c r="C4" s="64">
        <v>1.3</v>
      </c>
      <c r="D4" s="9">
        <f>C4/$C$7*$D$7</f>
        <v>5.931558935361218</v>
      </c>
      <c r="E4" s="9">
        <f>(B4+D4)*$D$1</f>
        <v>1095.0246935361217</v>
      </c>
      <c r="F4" s="39">
        <v>1373</v>
      </c>
      <c r="G4" s="70">
        <f>-E4+F4</f>
        <v>277.97530646387827</v>
      </c>
    </row>
    <row r="5" spans="1:7" s="35" customFormat="1" ht="15">
      <c r="A5" s="9" t="s">
        <v>421</v>
      </c>
      <c r="B5" s="11">
        <v>66.85</v>
      </c>
      <c r="C5" s="11">
        <v>0.79</v>
      </c>
      <c r="D5" s="9">
        <f>C5/$C$7*$D$7</f>
        <v>3.6045627376425857</v>
      </c>
      <c r="E5" s="9">
        <f>(B5+D5)*$D$1</f>
        <v>2598.3642737642585</v>
      </c>
      <c r="F5" s="39">
        <v>2595</v>
      </c>
      <c r="G5" s="70">
        <f>-E5+F5</f>
        <v>-3.3642737642585416</v>
      </c>
    </row>
    <row r="6" spans="1:7" s="35" customFormat="1" ht="15">
      <c r="A6" s="9" t="s">
        <v>260</v>
      </c>
      <c r="B6" s="64">
        <v>8.45</v>
      </c>
      <c r="C6" s="64">
        <v>0.54</v>
      </c>
      <c r="D6" s="9">
        <f>C6/$C$7*$D$7</f>
        <v>2.4638783269961984</v>
      </c>
      <c r="E6" s="51"/>
      <c r="F6" s="52"/>
      <c r="G6" s="71"/>
    </row>
    <row r="7" spans="1:7" s="43" customFormat="1" ht="15">
      <c r="A7" s="41"/>
      <c r="B7" s="41"/>
      <c r="C7" s="41">
        <f>SUM(C4:C6)</f>
        <v>2.63</v>
      </c>
      <c r="D7" s="41">
        <v>12</v>
      </c>
      <c r="E7" s="41"/>
      <c r="F7" s="41"/>
      <c r="G7" s="41"/>
    </row>
    <row r="9" ht="31.5">
      <c r="A9" s="49"/>
    </row>
    <row r="10" ht="15">
      <c r="A10" s="84" t="s">
        <v>422</v>
      </c>
    </row>
    <row r="11" ht="15">
      <c r="A11" s="85" t="s">
        <v>423</v>
      </c>
    </row>
    <row r="12" ht="15">
      <c r="A12" s="85" t="s">
        <v>424</v>
      </c>
    </row>
    <row r="13" ht="15">
      <c r="A13" s="85" t="s">
        <v>425</v>
      </c>
    </row>
    <row r="14" ht="15">
      <c r="A14" s="85" t="s">
        <v>426</v>
      </c>
    </row>
    <row r="15" ht="15">
      <c r="A15" s="85" t="s">
        <v>427</v>
      </c>
    </row>
    <row r="16" ht="15">
      <c r="A16" s="85" t="s">
        <v>428</v>
      </c>
    </row>
  </sheetData>
  <sheetProtection selectLockedCells="1" selectUnlockedCells="1"/>
  <hyperlinks>
    <hyperlink ref="A11" r:id="rId1" display="http://www.iherb.com/California-Gold-Nutrition-Spirulina-500-mg-60-Tablets/48403"/>
    <hyperlink ref="A12" r:id="rId2" display="http://www.iherb.com/iHerb-Goods-Stainless-Steel-Snap-Mesh-Tea-Infuser/50822"/>
    <hyperlink ref="A13" r:id="rId3" display="http://www.iherb.com/Now-Foods-Better-Stevia-Liquid-Sweetener-French-Vanilla-2-fl-oz-60-ml/16558"/>
    <hyperlink ref="A14" r:id="rId4" display="http://www.iherb.com/Now-Foods-Better-Stevia-Liquid-Sweetener-Dark-Chocolate-2-fl-oz-60-ml/16571"/>
    <hyperlink ref="A15" r:id="rId5" display="http://www.iherb.com/iHerb-Goods-Magnifier-with-LED-Light/55640"/>
    <hyperlink ref="A16" r:id="rId6" display="http://www.iherb.com/Now-Foods-Better-Stevia-Liquid-Sweetener-Glycerite-Alcohol-Free-2-fl-oz-60-ml/862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41705</v>
      </c>
      <c r="C1" s="31" t="s">
        <v>252</v>
      </c>
      <c r="D1" s="48">
        <v>36.88</v>
      </c>
      <c r="E1" s="28" t="s">
        <v>253</v>
      </c>
    </row>
    <row r="2" s="28" customFormat="1" ht="15">
      <c r="A2" s="46" t="s">
        <v>418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420</v>
      </c>
      <c r="B4" s="64">
        <v>7.25</v>
      </c>
      <c r="C4" s="64">
        <v>0.08</v>
      </c>
      <c r="D4" s="9">
        <f>C4/$C$8*$D$8</f>
        <v>0.35820895522388063</v>
      </c>
      <c r="E4" s="9">
        <f>(B4+D4)*$D$1</f>
        <v>280.59074626865674</v>
      </c>
      <c r="F4" s="39"/>
      <c r="G4" s="70">
        <f>-E4+F4</f>
        <v>-280.59074626865674</v>
      </c>
    </row>
    <row r="5" spans="1:7" s="35" customFormat="1" ht="15">
      <c r="A5" s="9" t="s">
        <v>350</v>
      </c>
      <c r="B5" s="11">
        <v>49.47</v>
      </c>
      <c r="C5" s="11">
        <v>0.89</v>
      </c>
      <c r="D5" s="9">
        <f>C5/$C$8*$D$8</f>
        <v>3.985074626865672</v>
      </c>
      <c r="E5" s="9">
        <f>(B5+D5)*$D$1</f>
        <v>1971.423152238806</v>
      </c>
      <c r="F5" s="39">
        <v>2677</v>
      </c>
      <c r="G5" s="70">
        <f>-E5+F5</f>
        <v>705.5768477611939</v>
      </c>
    </row>
    <row r="6" spans="1:7" s="35" customFormat="1" ht="15">
      <c r="A6" s="9" t="s">
        <v>266</v>
      </c>
      <c r="B6" s="11">
        <v>30.23</v>
      </c>
      <c r="C6" s="64">
        <v>1.25</v>
      </c>
      <c r="D6" s="9">
        <f>C6/$C$8*$D$8</f>
        <v>5.597014925373135</v>
      </c>
      <c r="E6" s="9">
        <f>(B6+D6)*$D$1</f>
        <v>1321.3003104477614</v>
      </c>
      <c r="F6" s="39">
        <v>1050</v>
      </c>
      <c r="G6" s="70">
        <f>-E6+F6</f>
        <v>-271.3003104477614</v>
      </c>
    </row>
    <row r="7" spans="1:7" s="35" customFormat="1" ht="15">
      <c r="A7" s="9" t="s">
        <v>260</v>
      </c>
      <c r="B7" s="64">
        <v>8.52</v>
      </c>
      <c r="C7" s="64">
        <v>0.46</v>
      </c>
      <c r="D7" s="9">
        <f>C7/$C$8*$D$8</f>
        <v>2.0597014925373136</v>
      </c>
      <c r="E7" s="51"/>
      <c r="F7" s="52"/>
      <c r="G7" s="71"/>
    </row>
    <row r="8" spans="1:7" s="43" customFormat="1" ht="15">
      <c r="A8" s="41"/>
      <c r="B8" s="41"/>
      <c r="C8" s="41">
        <f>SUM(C4:C7)</f>
        <v>2.6799999999999997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41710</v>
      </c>
      <c r="C1" s="31" t="s">
        <v>252</v>
      </c>
      <c r="D1" s="48">
        <v>37.26</v>
      </c>
      <c r="E1" s="28" t="s">
        <v>253</v>
      </c>
    </row>
    <row r="2" s="28" customFormat="1" ht="15">
      <c r="A2" s="46" t="s">
        <v>429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419</v>
      </c>
      <c r="B4" s="64">
        <v>23.58</v>
      </c>
      <c r="C4" s="64">
        <v>0.39</v>
      </c>
      <c r="D4" s="9">
        <f>C4/$C$9*$D$9</f>
        <v>1.8645418326693228</v>
      </c>
      <c r="E4" s="9">
        <f>(B4+D4)*$D$1</f>
        <v>948.0636286852589</v>
      </c>
      <c r="F4" s="39">
        <f>1761+4</f>
        <v>1765</v>
      </c>
      <c r="G4" s="70">
        <f>-E4+F4</f>
        <v>816.9363713147411</v>
      </c>
    </row>
    <row r="5" spans="1:7" s="35" customFormat="1" ht="15">
      <c r="A5" s="9" t="s">
        <v>359</v>
      </c>
      <c r="B5" s="11">
        <f>5.39*0.8</f>
        <v>4.312</v>
      </c>
      <c r="C5" s="40">
        <f>0.05</f>
        <v>0.05</v>
      </c>
      <c r="D5" s="9">
        <f>C5/$C$9*$D$9</f>
        <v>0.23904382470119523</v>
      </c>
      <c r="E5" s="9">
        <f>(B5+D5)*$D$1</f>
        <v>169.57189290836652</v>
      </c>
      <c r="F5" s="39">
        <v>169</v>
      </c>
      <c r="G5" s="70">
        <f>-E5+F5</f>
        <v>-0.5718929083665216</v>
      </c>
    </row>
    <row r="6" spans="1:7" s="35" customFormat="1" ht="15">
      <c r="A6" s="9" t="s">
        <v>75</v>
      </c>
      <c r="B6" s="11">
        <v>14.39</v>
      </c>
      <c r="C6" s="40">
        <v>0.57</v>
      </c>
      <c r="D6" s="9">
        <f>C6/$C$9*$D$9</f>
        <v>2.725099601593625</v>
      </c>
      <c r="E6" s="9">
        <f>(B6+D6)*$D$1</f>
        <v>637.7086111553785</v>
      </c>
      <c r="F6" s="39"/>
      <c r="G6" s="70">
        <f>-E6+F6</f>
        <v>-637.7086111553785</v>
      </c>
    </row>
    <row r="7" spans="1:7" s="35" customFormat="1" ht="15">
      <c r="A7" s="9" t="s">
        <v>430</v>
      </c>
      <c r="B7" s="11">
        <v>42.16</v>
      </c>
      <c r="C7" s="64">
        <v>1.34</v>
      </c>
      <c r="D7" s="9">
        <f>C7/$C$9*$D$9</f>
        <v>6.4063745019920315</v>
      </c>
      <c r="E7" s="9">
        <f>(B7+D7)*$D$1</f>
        <v>1809.583113944223</v>
      </c>
      <c r="F7" s="39">
        <f>1806+4</f>
        <v>1810</v>
      </c>
      <c r="G7" s="70">
        <f>-E7+F7</f>
        <v>0.4168860557770131</v>
      </c>
    </row>
    <row r="8" spans="1:7" s="35" customFormat="1" ht="15">
      <c r="A8" s="9" t="s">
        <v>260</v>
      </c>
      <c r="B8" s="11">
        <v>12.94</v>
      </c>
      <c r="C8" s="40">
        <v>0.16</v>
      </c>
      <c r="D8" s="9">
        <f>C8/$C$9*$D$9</f>
        <v>0.7649402390438247</v>
      </c>
      <c r="E8" s="51"/>
      <c r="F8" s="52"/>
      <c r="G8" s="71"/>
    </row>
    <row r="9" spans="1:7" s="43" customFormat="1" ht="15">
      <c r="A9" s="41"/>
      <c r="B9" s="41"/>
      <c r="C9" s="41">
        <f>SUM(C4:C8)</f>
        <v>2.5100000000000002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41711</v>
      </c>
      <c r="C1" s="31" t="s">
        <v>252</v>
      </c>
      <c r="D1" s="48">
        <v>37.26</v>
      </c>
      <c r="E1" s="28" t="s">
        <v>253</v>
      </c>
    </row>
    <row r="2" s="28" customFormat="1" ht="15">
      <c r="A2" s="46" t="s">
        <v>431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73</v>
      </c>
      <c r="B4" s="64">
        <v>31.28</v>
      </c>
      <c r="C4" s="64">
        <v>0.55</v>
      </c>
      <c r="D4" s="9">
        <f aca="true" t="shared" si="0" ref="D4:D9">C4/$C$10*$D$10</f>
        <v>3.0881527231892196</v>
      </c>
      <c r="E4" s="9">
        <f>(B4+D4)*$D$1</f>
        <v>1280.5573704660303</v>
      </c>
      <c r="F4" s="39">
        <v>1261</v>
      </c>
      <c r="G4" s="70">
        <f>-E4+F4</f>
        <v>-19.557370466030306</v>
      </c>
    </row>
    <row r="5" spans="1:7" s="35" customFormat="1" ht="15">
      <c r="A5" s="9" t="s">
        <v>157</v>
      </c>
      <c r="B5" s="11">
        <v>12.77</v>
      </c>
      <c r="C5" s="40">
        <v>0.46</v>
      </c>
      <c r="D5" s="9">
        <f t="shared" si="0"/>
        <v>2.5828186412128016</v>
      </c>
      <c r="E5" s="9">
        <f>(B5+D5)*$D$1</f>
        <v>572.046022571589</v>
      </c>
      <c r="F5" s="39">
        <v>569</v>
      </c>
      <c r="G5" s="70">
        <f>-E5+F5</f>
        <v>-3.046022571588992</v>
      </c>
    </row>
    <row r="6" spans="1:7" s="35" customFormat="1" ht="15">
      <c r="A6" s="9" t="s">
        <v>25</v>
      </c>
      <c r="B6" s="11">
        <v>3.82</v>
      </c>
      <c r="C6" s="40">
        <v>0.001</v>
      </c>
      <c r="D6" s="9">
        <f t="shared" si="0"/>
        <v>0.005614823133071309</v>
      </c>
      <c r="E6" s="9">
        <f>(B6+D6)*$D$1</f>
        <v>142.54240830993822</v>
      </c>
      <c r="F6" s="39"/>
      <c r="G6" s="70">
        <f>-E6+F6</f>
        <v>-142.54240830993822</v>
      </c>
    </row>
    <row r="7" spans="1:7" s="35" customFormat="1" ht="15">
      <c r="A7" s="9" t="s">
        <v>55</v>
      </c>
      <c r="B7" s="11">
        <v>17.43</v>
      </c>
      <c r="C7" s="40">
        <v>0.08</v>
      </c>
      <c r="D7" s="9">
        <f t="shared" si="0"/>
        <v>0.4491858506457047</v>
      </c>
      <c r="E7" s="9">
        <f>(B7+D7)*$D$1</f>
        <v>666.178464795059</v>
      </c>
      <c r="F7" s="39">
        <v>1267</v>
      </c>
      <c r="G7" s="70">
        <f>-E7+F7</f>
        <v>600.821535204941</v>
      </c>
    </row>
    <row r="8" spans="1:7" s="35" customFormat="1" ht="15">
      <c r="A8" s="9" t="s">
        <v>39</v>
      </c>
      <c r="B8" s="11">
        <v>12.28</v>
      </c>
      <c r="C8" s="64">
        <v>0.22</v>
      </c>
      <c r="D8" s="9">
        <f t="shared" si="0"/>
        <v>1.235261089275688</v>
      </c>
      <c r="E8" s="9">
        <f>(B8+D8)*$D$1</f>
        <v>503.5786281864121</v>
      </c>
      <c r="F8" s="39">
        <v>501</v>
      </c>
      <c r="G8" s="70">
        <f>-E8+F8</f>
        <v>-2.578628186412118</v>
      </c>
    </row>
    <row r="9" spans="1:7" s="35" customFormat="1" ht="15">
      <c r="A9" s="9" t="s">
        <v>260</v>
      </c>
      <c r="B9" s="64">
        <v>12.63</v>
      </c>
      <c r="C9" s="64">
        <v>0.47</v>
      </c>
      <c r="D9" s="9">
        <f t="shared" si="0"/>
        <v>2.638966872543515</v>
      </c>
      <c r="E9" s="51"/>
      <c r="F9" s="52"/>
      <c r="G9" s="71"/>
    </row>
    <row r="10" spans="1:7" s="43" customFormat="1" ht="15">
      <c r="A10" s="41"/>
      <c r="B10" s="41"/>
      <c r="C10" s="41">
        <f>SUM(C4:C9)</f>
        <v>1.781</v>
      </c>
      <c r="D10" s="41">
        <v>10</v>
      </c>
      <c r="E10" s="41"/>
      <c r="F10" s="41"/>
      <c r="G10" s="41"/>
    </row>
    <row r="12" ht="31.5">
      <c r="A12" s="49"/>
    </row>
    <row r="13" ht="31.5">
      <c r="A13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41711</v>
      </c>
      <c r="C1" s="31" t="s">
        <v>252</v>
      </c>
      <c r="D1" s="48">
        <v>37.26</v>
      </c>
      <c r="E1" s="28" t="s">
        <v>253</v>
      </c>
    </row>
    <row r="2" s="28" customFormat="1" ht="15">
      <c r="A2" s="46" t="s">
        <v>431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75</v>
      </c>
      <c r="B4" s="64">
        <v>19.47</v>
      </c>
      <c r="C4" s="64">
        <v>0.65</v>
      </c>
      <c r="D4" s="9">
        <f>C4/$C$8*$D$8</f>
        <v>3.672316384180791</v>
      </c>
      <c r="E4" s="9">
        <f>(B4+D4)*$D$1</f>
        <v>862.2827084745762</v>
      </c>
      <c r="F4" s="39">
        <v>1497</v>
      </c>
      <c r="G4" s="70">
        <f>-E4+F4</f>
        <v>634.7172915254238</v>
      </c>
    </row>
    <row r="5" spans="1:7" s="35" customFormat="1" ht="15">
      <c r="A5" s="9" t="s">
        <v>25</v>
      </c>
      <c r="B5" s="11">
        <v>34.57</v>
      </c>
      <c r="C5" s="11">
        <v>0.69</v>
      </c>
      <c r="D5" s="9">
        <f>C5/$C$8*$D$8</f>
        <v>3.898305084745762</v>
      </c>
      <c r="E5" s="9">
        <f>(B5+D5)*$D$1</f>
        <v>1433.3290474576272</v>
      </c>
      <c r="F5" s="39">
        <v>1580</v>
      </c>
      <c r="G5" s="70">
        <f>-E5+F5</f>
        <v>146.6709525423728</v>
      </c>
    </row>
    <row r="6" spans="1:7" s="35" customFormat="1" ht="15">
      <c r="A6" s="9" t="s">
        <v>55</v>
      </c>
      <c r="B6" s="11">
        <v>16</v>
      </c>
      <c r="C6" s="40">
        <v>0.05</v>
      </c>
      <c r="D6" s="9">
        <f>C6/$C$8*$D$8</f>
        <v>0.2824858757062147</v>
      </c>
      <c r="E6" s="9">
        <f>(B6+D6)*$D$1</f>
        <v>606.6854237288135</v>
      </c>
      <c r="F6" s="39"/>
      <c r="G6" s="70">
        <f>-E6+F6</f>
        <v>-606.6854237288135</v>
      </c>
    </row>
    <row r="7" spans="1:7" s="35" customFormat="1" ht="15">
      <c r="A7" s="9" t="s">
        <v>260</v>
      </c>
      <c r="B7" s="64">
        <v>26.99</v>
      </c>
      <c r="C7" s="64">
        <v>0.38</v>
      </c>
      <c r="D7" s="9">
        <f>C7/$C$8*$D$8</f>
        <v>2.1468926553672314</v>
      </c>
      <c r="E7" s="51"/>
      <c r="F7" s="52"/>
      <c r="G7" s="71"/>
    </row>
    <row r="8" spans="1:7" s="43" customFormat="1" ht="15">
      <c r="A8" s="41"/>
      <c r="B8" s="41"/>
      <c r="C8" s="41">
        <f>SUM(C4:C7)</f>
        <v>1.77</v>
      </c>
      <c r="D8" s="41">
        <v>10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41722</v>
      </c>
      <c r="C1" s="31" t="s">
        <v>252</v>
      </c>
      <c r="D1" s="48">
        <v>36.06</v>
      </c>
      <c r="E1" s="28" t="s">
        <v>253</v>
      </c>
    </row>
    <row r="2" s="28" customFormat="1" ht="15">
      <c r="A2" s="46" t="s">
        <v>432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171</v>
      </c>
      <c r="B4" s="40">
        <v>3.83</v>
      </c>
      <c r="C4" s="40">
        <v>0.29</v>
      </c>
      <c r="D4" s="9">
        <f>C4/$C$7*$D$7</f>
        <v>1.2936802973977695</v>
      </c>
      <c r="E4" s="9">
        <f>(B4+D4)*$D$1</f>
        <v>184.75991152416358</v>
      </c>
      <c r="F4" s="39">
        <v>189</v>
      </c>
      <c r="G4" s="70">
        <f>-E4+F4</f>
        <v>4.240088475836416</v>
      </c>
    </row>
    <row r="5" spans="1:7" s="35" customFormat="1" ht="15">
      <c r="A5" s="9" t="s">
        <v>8</v>
      </c>
      <c r="B5" s="11">
        <v>14.39</v>
      </c>
      <c r="C5" s="40">
        <v>0.57</v>
      </c>
      <c r="D5" s="9">
        <f>C5/$C$7*$D$7</f>
        <v>2.5427509293680295</v>
      </c>
      <c r="E5" s="9">
        <f>(B5+D5)*$D$1</f>
        <v>610.5949985130112</v>
      </c>
      <c r="F5" s="39">
        <v>625</v>
      </c>
      <c r="G5" s="70">
        <f>-E5+F5</f>
        <v>14.405001486988795</v>
      </c>
    </row>
    <row r="6" spans="1:7" s="35" customFormat="1" ht="15">
      <c r="A6" s="9" t="s">
        <v>260</v>
      </c>
      <c r="B6" s="64">
        <v>62.28</v>
      </c>
      <c r="C6" s="64">
        <v>1.83</v>
      </c>
      <c r="D6" s="9">
        <f>C6/$C$7*$D$7</f>
        <v>8.163568773234202</v>
      </c>
      <c r="E6" s="51"/>
      <c r="F6" s="52"/>
      <c r="G6" s="71"/>
    </row>
    <row r="7" spans="1:7" s="43" customFormat="1" ht="15">
      <c r="A7" s="41"/>
      <c r="B7" s="41"/>
      <c r="C7" s="41">
        <f>SUM(C4:C6)</f>
        <v>2.69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41722</v>
      </c>
      <c r="C1" s="31" t="s">
        <v>252</v>
      </c>
      <c r="D1" s="48">
        <v>36.06</v>
      </c>
      <c r="E1" s="28" t="s">
        <v>253</v>
      </c>
    </row>
    <row r="2" s="28" customFormat="1" ht="15">
      <c r="A2" s="46" t="s">
        <v>432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359</v>
      </c>
      <c r="B4" s="64">
        <v>3.84</v>
      </c>
      <c r="C4" s="64">
        <v>0.14</v>
      </c>
      <c r="D4" s="9">
        <f>C4/$C$9*$D$9</f>
        <v>0.6176470588235294</v>
      </c>
      <c r="E4" s="9">
        <f>(B4+D4)*$D$1</f>
        <v>160.74275294117646</v>
      </c>
      <c r="F4" s="39">
        <v>149</v>
      </c>
      <c r="G4" s="70">
        <f>-E4+F4</f>
        <v>-11.742752941176462</v>
      </c>
    </row>
    <row r="5" spans="1:7" s="35" customFormat="1" ht="15">
      <c r="A5" s="9" t="s">
        <v>268</v>
      </c>
      <c r="B5" s="11">
        <v>17.5</v>
      </c>
      <c r="C5" s="11">
        <v>0.13</v>
      </c>
      <c r="D5" s="9">
        <f>C5/$C$9*$D$9</f>
        <v>0.5735294117647058</v>
      </c>
      <c r="E5" s="9">
        <f>(B5+D5)*$D$1</f>
        <v>651.7314705882353</v>
      </c>
      <c r="F5" s="39">
        <v>667</v>
      </c>
      <c r="G5" s="70">
        <f>-E5+F5</f>
        <v>15.268529411764689</v>
      </c>
    </row>
    <row r="6" spans="1:7" s="35" customFormat="1" ht="15">
      <c r="A6" s="9" t="s">
        <v>123</v>
      </c>
      <c r="B6" s="11">
        <v>5.04</v>
      </c>
      <c r="C6" s="40">
        <v>0.14</v>
      </c>
      <c r="D6" s="9">
        <f>C6/$C$9*$D$9</f>
        <v>0.6176470588235294</v>
      </c>
      <c r="E6" s="9">
        <f>(B6+D6)*$D$1</f>
        <v>204.0147529411765</v>
      </c>
      <c r="F6" s="39">
        <f>200+2</f>
        <v>202</v>
      </c>
      <c r="G6" s="70">
        <f>-E6+F6</f>
        <v>-2.0147529411765106</v>
      </c>
    </row>
    <row r="7" spans="1:7" s="35" customFormat="1" ht="15">
      <c r="A7" s="9" t="s">
        <v>113</v>
      </c>
      <c r="B7" s="11">
        <v>20.76</v>
      </c>
      <c r="C7" s="40">
        <v>1.12</v>
      </c>
      <c r="D7" s="9">
        <f>C7/$C$9*$D$9</f>
        <v>4.9411764705882355</v>
      </c>
      <c r="E7" s="9">
        <f>(B7+D7)*$D$1</f>
        <v>926.7844235294119</v>
      </c>
      <c r="F7" s="39"/>
      <c r="G7" s="70">
        <f>-E7+F7</f>
        <v>-926.7844235294119</v>
      </c>
    </row>
    <row r="8" spans="1:7" s="35" customFormat="1" ht="15">
      <c r="A8" s="9" t="s">
        <v>260</v>
      </c>
      <c r="B8" s="64">
        <v>38.06</v>
      </c>
      <c r="C8" s="64">
        <v>1.19</v>
      </c>
      <c r="D8" s="9">
        <f>C8/$C$9*$D$9</f>
        <v>5.249999999999999</v>
      </c>
      <c r="E8" s="51"/>
      <c r="F8" s="52"/>
      <c r="G8" s="71"/>
    </row>
    <row r="9" spans="1:7" s="43" customFormat="1" ht="15">
      <c r="A9" s="41"/>
      <c r="B9" s="41"/>
      <c r="C9" s="41">
        <f>SUM(C4:C8)</f>
        <v>2.72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G7"/>
  <sheetViews>
    <sheetView zoomScalePageLayoutView="0" workbookViewId="0" topLeftCell="A1">
      <selection activeCell="E20" sqref="E20:E22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41219</v>
      </c>
      <c r="C1" s="31" t="s">
        <v>252</v>
      </c>
      <c r="D1" s="32">
        <f>31.30331</f>
        <v>31.30331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152</v>
      </c>
      <c r="B4" s="9">
        <v>23.99</v>
      </c>
      <c r="C4" s="9">
        <v>0.37</v>
      </c>
      <c r="D4" s="9">
        <f>C4/$C$7*$D$7</f>
        <v>0.9736842105263157</v>
      </c>
      <c r="E4" s="9">
        <f>(B4+D4)*$D$1</f>
        <v>781.4459455842104</v>
      </c>
      <c r="F4" s="39">
        <v>791</v>
      </c>
      <c r="G4" s="39">
        <f>-E4+F4</f>
        <v>9.554054415789551</v>
      </c>
    </row>
    <row r="5" spans="1:7" s="35" customFormat="1" ht="15">
      <c r="A5" s="9" t="s">
        <v>228</v>
      </c>
      <c r="B5" s="9">
        <v>25.81</v>
      </c>
      <c r="C5" s="9">
        <v>0.87</v>
      </c>
      <c r="D5" s="9">
        <f>C5/$C$7*$D$7</f>
        <v>2.289473684210526</v>
      </c>
      <c r="E5" s="9">
        <f>(B5+D5)*$D$1</f>
        <v>879.6065355736843</v>
      </c>
      <c r="F5" s="39">
        <v>891</v>
      </c>
      <c r="G5" s="39">
        <f>-E5+F5</f>
        <v>11.393464426315745</v>
      </c>
    </row>
    <row r="6" spans="1:7" ht="15">
      <c r="A6" s="13" t="s">
        <v>260</v>
      </c>
      <c r="B6" s="9">
        <v>25.44</v>
      </c>
      <c r="C6" s="9">
        <v>1.04</v>
      </c>
      <c r="D6" s="9">
        <f>C6/$C$7*$D$7</f>
        <v>2.7368421052631575</v>
      </c>
      <c r="E6" s="9">
        <f>(B6+D6)*$D$1</f>
        <v>882.0284232421053</v>
      </c>
      <c r="F6" s="39"/>
      <c r="G6" s="39"/>
    </row>
    <row r="7" spans="1:7" ht="15">
      <c r="A7" s="36"/>
      <c r="B7" s="36"/>
      <c r="C7" s="36">
        <f>SUM(C4:C6)</f>
        <v>2.2800000000000002</v>
      </c>
      <c r="D7" s="36">
        <v>6</v>
      </c>
      <c r="E7" s="36"/>
      <c r="F7" s="11"/>
      <c r="G7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41723</v>
      </c>
      <c r="C1" s="31" t="s">
        <v>252</v>
      </c>
      <c r="D1" s="48">
        <v>36.06</v>
      </c>
      <c r="E1" s="28" t="s">
        <v>253</v>
      </c>
    </row>
    <row r="2" s="28" customFormat="1" ht="15">
      <c r="A2" s="46" t="s">
        <v>433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216</v>
      </c>
      <c r="B4" s="64">
        <v>31.94</v>
      </c>
      <c r="C4" s="64">
        <v>1.15</v>
      </c>
      <c r="D4" s="9">
        <f>C4/$C$6*$D$6</f>
        <v>5.111111111111111</v>
      </c>
      <c r="E4" s="9">
        <f>(B4+D4)*$D$1</f>
        <v>1336.0630666666668</v>
      </c>
      <c r="F4" s="39">
        <v>1367</v>
      </c>
      <c r="G4" s="70">
        <f>-E4+F4</f>
        <v>30.936933333333172</v>
      </c>
    </row>
    <row r="5" spans="1:7" s="35" customFormat="1" ht="15">
      <c r="A5" s="9" t="s">
        <v>260</v>
      </c>
      <c r="B5" s="64">
        <v>50.68</v>
      </c>
      <c r="C5" s="64">
        <v>1.55</v>
      </c>
      <c r="D5" s="9">
        <f>C5/$C$6*$D$6</f>
        <v>6.888888888888889</v>
      </c>
      <c r="E5" s="51"/>
      <c r="F5" s="52"/>
      <c r="G5" s="71"/>
    </row>
    <row r="6" spans="1:7" s="43" customFormat="1" ht="15">
      <c r="A6" s="41"/>
      <c r="B6" s="41"/>
      <c r="C6" s="41">
        <f>SUM(C4:C5)</f>
        <v>2.7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41723</v>
      </c>
      <c r="C1" s="31" t="s">
        <v>252</v>
      </c>
      <c r="D1" s="48">
        <v>36.19</v>
      </c>
      <c r="E1" s="28" t="s">
        <v>253</v>
      </c>
    </row>
    <row r="2" s="28" customFormat="1" ht="15">
      <c r="A2" s="46" t="s">
        <v>433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19</v>
      </c>
      <c r="B4" s="64">
        <v>69.28</v>
      </c>
      <c r="C4" s="64">
        <v>1.31</v>
      </c>
      <c r="D4" s="9">
        <f>C4/$C$6*$D$6</f>
        <v>5.779411764705883</v>
      </c>
      <c r="E4" s="9">
        <f>(B4+D4)*$D$1</f>
        <v>2716.400111764706</v>
      </c>
      <c r="F4" s="39">
        <v>2769</v>
      </c>
      <c r="G4" s="70">
        <f>-E4+F4</f>
        <v>52.5998882352942</v>
      </c>
    </row>
    <row r="5" spans="1:7" s="35" customFormat="1" ht="15">
      <c r="A5" s="9" t="s">
        <v>260</v>
      </c>
      <c r="B5" s="64">
        <v>28.8</v>
      </c>
      <c r="C5" s="64">
        <v>1.41</v>
      </c>
      <c r="D5" s="9">
        <f>C5/$C$6*$D$6</f>
        <v>6.220588235294118</v>
      </c>
      <c r="E5" s="51"/>
      <c r="F5" s="52"/>
      <c r="G5" s="71"/>
    </row>
    <row r="6" spans="1:7" s="43" customFormat="1" ht="15">
      <c r="A6" s="41"/>
      <c r="B6" s="41"/>
      <c r="C6" s="41">
        <f>SUM(C4:C5)</f>
        <v>2.7199999999999998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41723</v>
      </c>
      <c r="C1" s="31" t="s">
        <v>252</v>
      </c>
      <c r="D1" s="48">
        <v>36.3</v>
      </c>
      <c r="E1" s="28" t="s">
        <v>253</v>
      </c>
    </row>
    <row r="2" s="28" customFormat="1" ht="15">
      <c r="A2" s="46" t="s">
        <v>433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180</v>
      </c>
      <c r="B4" s="64">
        <v>32.89</v>
      </c>
      <c r="C4" s="64">
        <v>0.38</v>
      </c>
      <c r="D4" s="9">
        <f>C4/$C$7*$D$7</f>
        <v>1.682656826568266</v>
      </c>
      <c r="E4" s="9">
        <f>(B4+D4)*$D$1</f>
        <v>1254.987442804428</v>
      </c>
      <c r="F4" s="39">
        <v>1262</v>
      </c>
      <c r="G4" s="70">
        <f>-E4+F4</f>
        <v>7.012557195572072</v>
      </c>
    </row>
    <row r="5" spans="1:7" s="35" customFormat="1" ht="15">
      <c r="A5" s="9" t="s">
        <v>113</v>
      </c>
      <c r="B5" s="11">
        <v>48.53</v>
      </c>
      <c r="C5" s="11">
        <v>2.13</v>
      </c>
      <c r="D5" s="9">
        <f>C5/$C$7*$D$7</f>
        <v>9.431734317343174</v>
      </c>
      <c r="E5" s="9">
        <f>(B5+D5)*$D$1</f>
        <v>2104.010955719557</v>
      </c>
      <c r="F5" s="39">
        <v>3095</v>
      </c>
      <c r="G5" s="70">
        <f>-E5+F5</f>
        <v>990.9890442804431</v>
      </c>
    </row>
    <row r="6" spans="1:7" s="35" customFormat="1" ht="15">
      <c r="A6" s="9" t="s">
        <v>260</v>
      </c>
      <c r="B6" s="64">
        <v>7.96</v>
      </c>
      <c r="C6" s="64">
        <v>0.2</v>
      </c>
      <c r="D6" s="9">
        <f>C6/$C$7*$D$7</f>
        <v>0.8856088560885609</v>
      </c>
      <c r="E6" s="51"/>
      <c r="F6" s="52"/>
      <c r="G6" s="71"/>
    </row>
    <row r="7" spans="1:7" s="43" customFormat="1" ht="15">
      <c r="A7" s="41"/>
      <c r="B7" s="41"/>
      <c r="C7" s="41">
        <f>SUM(C4:C6)</f>
        <v>2.71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41725</v>
      </c>
      <c r="C1" s="31" t="s">
        <v>252</v>
      </c>
      <c r="D1" s="48">
        <v>36.3</v>
      </c>
      <c r="E1" s="28" t="s">
        <v>253</v>
      </c>
    </row>
    <row r="2" s="28" customFormat="1" ht="15">
      <c r="A2" s="46" t="s">
        <v>434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69</v>
      </c>
      <c r="B4" s="11">
        <v>13.56</v>
      </c>
      <c r="C4" s="11">
        <v>1.11</v>
      </c>
      <c r="D4" s="9">
        <f>C4/$C$6*$D$6</f>
        <v>4.970149253731344</v>
      </c>
      <c r="E4" s="9">
        <f>(B4+D4)*$D$1</f>
        <v>672.6444179104478</v>
      </c>
      <c r="F4" s="39">
        <v>671</v>
      </c>
      <c r="G4" s="70">
        <f>-E4+F4</f>
        <v>-1.644417910447828</v>
      </c>
    </row>
    <row r="5" spans="1:7" s="35" customFormat="1" ht="15">
      <c r="A5" s="9" t="s">
        <v>260</v>
      </c>
      <c r="B5" s="64">
        <v>80.86</v>
      </c>
      <c r="C5" s="64">
        <v>1.57</v>
      </c>
      <c r="D5" s="9">
        <f>C5/$C$6*$D$6</f>
        <v>7.029850746268656</v>
      </c>
      <c r="E5" s="51"/>
      <c r="F5" s="52"/>
      <c r="G5" s="71"/>
    </row>
    <row r="6" spans="1:7" s="43" customFormat="1" ht="15">
      <c r="A6" s="41"/>
      <c r="B6" s="41"/>
      <c r="C6" s="41">
        <f>SUM(C4:C5)</f>
        <v>2.68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41729</v>
      </c>
      <c r="C1" s="31" t="s">
        <v>252</v>
      </c>
      <c r="D1" s="48">
        <v>36.13</v>
      </c>
      <c r="E1" s="28" t="s">
        <v>253</v>
      </c>
    </row>
    <row r="2" s="28" customFormat="1" ht="15">
      <c r="A2" s="46" t="s">
        <v>435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36</v>
      </c>
      <c r="B4" s="64">
        <v>8.37</v>
      </c>
      <c r="C4" s="64">
        <v>0.77</v>
      </c>
      <c r="D4" s="9">
        <f>C4/$C$9*$D$9</f>
        <v>3.40959409594096</v>
      </c>
      <c r="E4" s="9">
        <f>(B4+D4)*$D$1</f>
        <v>425.5967346863469</v>
      </c>
      <c r="F4" s="39">
        <v>423</v>
      </c>
      <c r="G4" s="70">
        <f>-E4+F4</f>
        <v>-2.596734686346906</v>
      </c>
    </row>
    <row r="5" spans="1:7" s="35" customFormat="1" ht="15">
      <c r="A5" s="9" t="s">
        <v>63</v>
      </c>
      <c r="B5" s="11">
        <v>18.52</v>
      </c>
      <c r="C5" s="11">
        <v>0.64</v>
      </c>
      <c r="D5" s="9">
        <f>C5/$C$9*$D$9</f>
        <v>2.833948339483395</v>
      </c>
      <c r="E5" s="9">
        <f>(B5+D5)*$D$1</f>
        <v>771.5181535055351</v>
      </c>
      <c r="F5" s="39">
        <v>785</v>
      </c>
      <c r="G5" s="70">
        <f>-E5+F5</f>
        <v>13.48184649446489</v>
      </c>
    </row>
    <row r="6" spans="1:7" s="35" customFormat="1" ht="15">
      <c r="A6" s="9" t="s">
        <v>191</v>
      </c>
      <c r="B6" s="11">
        <v>11.14</v>
      </c>
      <c r="C6" s="11">
        <v>0.76</v>
      </c>
      <c r="D6" s="9">
        <f>C6/$C$9*$D$9</f>
        <v>3.365313653136532</v>
      </c>
      <c r="E6" s="9">
        <f>(B6+D6)*$D$1</f>
        <v>524.076982287823</v>
      </c>
      <c r="F6" s="39">
        <v>527</v>
      </c>
      <c r="G6" s="70">
        <f>-E6+F6</f>
        <v>2.9230177121770566</v>
      </c>
    </row>
    <row r="7" spans="1:7" s="35" customFormat="1" ht="15">
      <c r="A7" s="9" t="s">
        <v>216</v>
      </c>
      <c r="B7" s="64">
        <v>12.94</v>
      </c>
      <c r="C7" s="40">
        <v>0.11</v>
      </c>
      <c r="D7" s="9">
        <f>C7/$C$9*$D$9</f>
        <v>0.48708487084870844</v>
      </c>
      <c r="E7" s="9">
        <f>(B7+D7)*$D$1</f>
        <v>485.1205763837638</v>
      </c>
      <c r="F7" s="39">
        <v>480</v>
      </c>
      <c r="G7" s="70">
        <f>-E7+F7</f>
        <v>-5.120576383763819</v>
      </c>
    </row>
    <row r="8" spans="1:7" s="35" customFormat="1" ht="15">
      <c r="A8" s="9" t="s">
        <v>73</v>
      </c>
      <c r="B8" s="11">
        <v>44.93</v>
      </c>
      <c r="C8" s="11">
        <v>0.43</v>
      </c>
      <c r="D8" s="9">
        <f>C8/$C$9*$D$9</f>
        <v>1.9040590405904059</v>
      </c>
      <c r="E8" s="9">
        <f>(B8+D8)*$D$1</f>
        <v>1692.1145531365314</v>
      </c>
      <c r="F8" s="39">
        <v>1706</v>
      </c>
      <c r="G8" s="70">
        <f>-E8+F8</f>
        <v>13.885446863468587</v>
      </c>
    </row>
    <row r="9" spans="1:7" s="43" customFormat="1" ht="15">
      <c r="A9" s="41"/>
      <c r="B9" s="41"/>
      <c r="C9" s="41">
        <f>SUM(C4:C8)</f>
        <v>2.71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  <row r="14" ht="15">
      <c r="A14" s="8" t="s">
        <v>436</v>
      </c>
    </row>
    <row r="15" spans="1:2" ht="15">
      <c r="A15" s="9" t="s">
        <v>36</v>
      </c>
      <c r="B15" s="86" t="s">
        <v>437</v>
      </c>
    </row>
  </sheetData>
  <sheetProtection selectLockedCells="1" selectUnlockedCells="1"/>
  <hyperlinks>
    <hyperlink ref="B15" r:id="rId1" display="http://ru.iherb.com/South-of-France-Lemon-Verbena-Hand-Wash-with-Soothing-Aloe-Vera-8-oz-236-ml/54928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K33" sqref="K33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41729</v>
      </c>
      <c r="C1" s="31" t="s">
        <v>252</v>
      </c>
      <c r="D1" s="48">
        <v>36.13</v>
      </c>
      <c r="E1" s="28" t="s">
        <v>253</v>
      </c>
    </row>
    <row r="2" s="28" customFormat="1" ht="15">
      <c r="A2" s="46" t="s">
        <v>435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268</v>
      </c>
      <c r="B4" s="64">
        <v>25.98</v>
      </c>
      <c r="C4" s="64">
        <v>0.58</v>
      </c>
      <c r="D4" s="9">
        <f>C4/$C$7*$D$7</f>
        <v>2.5777777777777775</v>
      </c>
      <c r="E4" s="9">
        <f>(B4+D4)*$D$1</f>
        <v>1031.7925111111113</v>
      </c>
      <c r="F4" s="39">
        <v>1037</v>
      </c>
      <c r="G4" s="70">
        <f>-E4+F4</f>
        <v>5.207488888888747</v>
      </c>
    </row>
    <row r="5" spans="1:7" s="35" customFormat="1" ht="15">
      <c r="A5" s="9" t="s">
        <v>115</v>
      </c>
      <c r="B5" s="11">
        <v>47.05</v>
      </c>
      <c r="C5" s="11">
        <v>1.17</v>
      </c>
      <c r="D5" s="9">
        <f>C5/$C$7*$D$7</f>
        <v>5.199999999999999</v>
      </c>
      <c r="E5" s="9">
        <f>(B5+D5)*$D$1</f>
        <v>1887.7925000000002</v>
      </c>
      <c r="F5" s="39">
        <v>861</v>
      </c>
      <c r="G5" s="70">
        <f>-E5+F5</f>
        <v>-1026.7925000000002</v>
      </c>
    </row>
    <row r="6" spans="1:7" s="35" customFormat="1" ht="15">
      <c r="A6" s="9" t="s">
        <v>260</v>
      </c>
      <c r="B6" s="64">
        <v>24.24</v>
      </c>
      <c r="C6" s="64">
        <v>0.95</v>
      </c>
      <c r="D6" s="9">
        <f>C6/$C$7*$D$7</f>
        <v>4.222222222222221</v>
      </c>
      <c r="E6" s="51"/>
      <c r="F6" s="52"/>
      <c r="G6" s="71"/>
    </row>
    <row r="7" spans="1:7" s="43" customFormat="1" ht="15">
      <c r="A7" s="41"/>
      <c r="B7" s="41"/>
      <c r="C7" s="41">
        <f>SUM(C4:C6)</f>
        <v>2.7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  <row r="12" ht="15">
      <c r="A12" s="8" t="s">
        <v>436</v>
      </c>
    </row>
    <row r="13" spans="1:2" ht="15">
      <c r="A13" s="9" t="s">
        <v>115</v>
      </c>
      <c r="B13" s="86" t="s">
        <v>438</v>
      </c>
    </row>
  </sheetData>
  <sheetProtection selectLockedCells="1" selectUnlockedCells="1"/>
  <hyperlinks>
    <hyperlink ref="B13" r:id="rId1" display="http://ru.iherb.com/Bernard-Jensen-s-Chlorophyll-Natural-Flavor-16-fl-oz-474-ml/5723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="90" zoomScaleNormal="90" zoomScalePageLayoutView="0" workbookViewId="0" topLeftCell="A1">
      <selection activeCell="A9" sqref="A9:A10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41729</v>
      </c>
      <c r="C1" s="31" t="s">
        <v>252</v>
      </c>
      <c r="D1" s="48">
        <v>36.13</v>
      </c>
      <c r="E1" s="28" t="s">
        <v>253</v>
      </c>
    </row>
    <row r="2" s="28" customFormat="1" ht="15">
      <c r="A2" s="46" t="s">
        <v>435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115</v>
      </c>
      <c r="B4" s="64">
        <v>21.27</v>
      </c>
      <c r="C4" s="11">
        <v>0.16</v>
      </c>
      <c r="D4" s="9">
        <f>C4/$C$7*$D$7</f>
        <v>0.7164179104477613</v>
      </c>
      <c r="E4" s="9">
        <f>(B4+D4)*$D$1</f>
        <v>794.3692791044776</v>
      </c>
      <c r="F4" s="39">
        <v>1835</v>
      </c>
      <c r="G4" s="70">
        <f>-E4+F4</f>
        <v>1040.6307208955222</v>
      </c>
    </row>
    <row r="5" spans="1:7" s="35" customFormat="1" ht="15">
      <c r="A5" s="9" t="s">
        <v>33</v>
      </c>
      <c r="B5" s="64">
        <v>4.45</v>
      </c>
      <c r="C5" s="40">
        <v>0.14</v>
      </c>
      <c r="D5" s="9">
        <f>C5/$C$7*$D$7</f>
        <v>0.6268656716417912</v>
      </c>
      <c r="E5" s="9">
        <f>(B5+D5)*$D$1</f>
        <v>183.42715671641795</v>
      </c>
      <c r="F5" s="39">
        <v>184</v>
      </c>
      <c r="G5" s="70">
        <f>-E5+F5</f>
        <v>0.5728432835820456</v>
      </c>
    </row>
    <row r="6" spans="1:7" s="35" customFormat="1" ht="15">
      <c r="A6" s="9" t="s">
        <v>260</v>
      </c>
      <c r="B6" s="64">
        <v>72.6</v>
      </c>
      <c r="C6" s="64">
        <v>2.38</v>
      </c>
      <c r="D6" s="9">
        <f>C6/$C$7*$D$7</f>
        <v>10.656716417910449</v>
      </c>
      <c r="E6" s="51"/>
      <c r="F6" s="52"/>
      <c r="G6" s="71"/>
    </row>
    <row r="7" spans="1:7" s="43" customFormat="1" ht="15">
      <c r="A7" s="41"/>
      <c r="B7" s="41"/>
      <c r="C7" s="41">
        <f>SUM(C4:C6)</f>
        <v>2.6799999999999997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20.140625" style="0" customWidth="1"/>
    <col min="2" max="2" width="18.8515625" style="0" customWidth="1"/>
    <col min="4" max="4" width="11.140625" style="0" customWidth="1"/>
    <col min="6" max="6" width="10.57421875" style="0" customWidth="1"/>
  </cols>
  <sheetData>
    <row r="1" spans="1:5" s="28" customFormat="1" ht="21">
      <c r="A1" s="29" t="s">
        <v>251</v>
      </c>
      <c r="B1" s="30">
        <v>41729</v>
      </c>
      <c r="C1" s="31" t="s">
        <v>252</v>
      </c>
      <c r="D1" s="48">
        <v>36.13</v>
      </c>
      <c r="E1" s="28" t="s">
        <v>253</v>
      </c>
    </row>
    <row r="2" s="28" customFormat="1" ht="15">
      <c r="A2" s="46" t="s">
        <v>435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162</v>
      </c>
      <c r="B4" s="11">
        <v>21.48</v>
      </c>
      <c r="C4" s="11">
        <v>1.15</v>
      </c>
      <c r="D4" s="9">
        <f>C4/$C$6*$D$6</f>
        <v>5.073529411764706</v>
      </c>
      <c r="E4" s="9">
        <f>(B4+D4)*$D$1</f>
        <v>959.379017647059</v>
      </c>
      <c r="F4" s="39">
        <v>963</v>
      </c>
      <c r="G4" s="70">
        <f>-E4+F4</f>
        <v>3.6209823529410414</v>
      </c>
    </row>
    <row r="5" spans="1:7" s="35" customFormat="1" ht="15">
      <c r="A5" s="9" t="s">
        <v>260</v>
      </c>
      <c r="B5" s="64">
        <v>65.64</v>
      </c>
      <c r="C5" s="64">
        <v>1.57</v>
      </c>
      <c r="D5" s="9">
        <f>C5/$C$6*$D$6</f>
        <v>6.926470588235295</v>
      </c>
      <c r="E5" s="51"/>
      <c r="F5" s="52"/>
      <c r="G5" s="71"/>
    </row>
    <row r="6" spans="1:7" s="43" customFormat="1" ht="15">
      <c r="A6" s="41"/>
      <c r="B6" s="41"/>
      <c r="C6" s="41">
        <f>SUM(C4:C5)</f>
        <v>2.7199999999999998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indexed="10"/>
  </sheetPr>
  <dimension ref="A1:G2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6.8515625" style="0" customWidth="1"/>
    <col min="2" max="2" width="20.140625" style="0" customWidth="1"/>
  </cols>
  <sheetData>
    <row r="1" spans="1:5" s="28" customFormat="1" ht="21">
      <c r="A1" s="29" t="s">
        <v>251</v>
      </c>
      <c r="B1" s="30">
        <v>41737</v>
      </c>
      <c r="C1" s="31" t="s">
        <v>252</v>
      </c>
      <c r="D1" s="48">
        <v>36.36</v>
      </c>
      <c r="E1" s="28" t="s">
        <v>253</v>
      </c>
    </row>
    <row r="2" s="28" customFormat="1" ht="15">
      <c r="A2" s="46"/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33</v>
      </c>
      <c r="B4" s="64">
        <v>27.19</v>
      </c>
      <c r="C4" s="64">
        <v>0.15</v>
      </c>
      <c r="D4" s="9">
        <f aca="true" t="shared" si="0" ref="D4:D13">C4/$C$14*$D$14</f>
        <v>0.6509999999999999</v>
      </c>
      <c r="E4" s="9">
        <f aca="true" t="shared" si="1" ref="E4:E12">(B4+D4)*$D$1</f>
        <v>1012.29876</v>
      </c>
      <c r="F4" s="39">
        <f>1010+2</f>
        <v>1012</v>
      </c>
      <c r="G4" s="70">
        <f aca="true" t="shared" si="2" ref="G4:G12">-E4+F4</f>
        <v>-0.2987600000000157</v>
      </c>
    </row>
    <row r="5" spans="1:7" s="35" customFormat="1" ht="15">
      <c r="A5" s="9" t="s">
        <v>69</v>
      </c>
      <c r="B5" s="11">
        <v>4.34</v>
      </c>
      <c r="C5" s="11">
        <v>1.21</v>
      </c>
      <c r="D5" s="9">
        <f t="shared" si="0"/>
        <v>5.251399999999999</v>
      </c>
      <c r="E5" s="9">
        <f t="shared" si="1"/>
        <v>348.743304</v>
      </c>
      <c r="F5" s="39">
        <v>348</v>
      </c>
      <c r="G5" s="70">
        <f t="shared" si="2"/>
        <v>-0.7433040000000233</v>
      </c>
    </row>
    <row r="6" spans="1:7" s="35" customFormat="1" ht="15">
      <c r="A6" s="9" t="s">
        <v>154</v>
      </c>
      <c r="B6" s="11">
        <v>5.79</v>
      </c>
      <c r="C6" s="40">
        <v>0.11</v>
      </c>
      <c r="D6" s="9">
        <f t="shared" si="0"/>
        <v>0.47739999999999994</v>
      </c>
      <c r="E6" s="9">
        <f t="shared" si="1"/>
        <v>227.882664</v>
      </c>
      <c r="F6" s="39">
        <v>227</v>
      </c>
      <c r="G6" s="70">
        <f t="shared" si="2"/>
        <v>-0.8826640000000054</v>
      </c>
    </row>
    <row r="7" spans="1:7" s="35" customFormat="1" ht="15">
      <c r="A7" s="9" t="s">
        <v>83</v>
      </c>
      <c r="B7" s="64">
        <v>32.95</v>
      </c>
      <c r="C7" s="64">
        <v>0.49</v>
      </c>
      <c r="D7" s="9">
        <f t="shared" si="0"/>
        <v>2.1266</v>
      </c>
      <c r="E7" s="9">
        <f t="shared" si="1"/>
        <v>1275.385176</v>
      </c>
      <c r="F7" s="39">
        <v>1276</v>
      </c>
      <c r="G7" s="70">
        <f t="shared" si="2"/>
        <v>0.6148239999999987</v>
      </c>
    </row>
    <row r="8" spans="1:7" s="35" customFormat="1" ht="15">
      <c r="A8" s="9" t="s">
        <v>56</v>
      </c>
      <c r="B8" s="11">
        <v>26.64</v>
      </c>
      <c r="C8" s="11">
        <v>1.25</v>
      </c>
      <c r="D8" s="9">
        <f t="shared" si="0"/>
        <v>5.425</v>
      </c>
      <c r="E8" s="9">
        <f t="shared" si="1"/>
        <v>1165.8834</v>
      </c>
      <c r="F8" s="39">
        <v>1163</v>
      </c>
      <c r="G8" s="70">
        <f t="shared" si="2"/>
        <v>-2.883399999999938</v>
      </c>
    </row>
    <row r="9" spans="1:7" s="35" customFormat="1" ht="15">
      <c r="A9" s="9" t="s">
        <v>172</v>
      </c>
      <c r="B9" s="11">
        <v>30.16</v>
      </c>
      <c r="C9" s="40">
        <v>0.57</v>
      </c>
      <c r="D9" s="9">
        <f t="shared" si="0"/>
        <v>2.4737999999999998</v>
      </c>
      <c r="E9" s="9">
        <f t="shared" si="1"/>
        <v>1186.564968</v>
      </c>
      <c r="F9" s="39">
        <v>1183</v>
      </c>
      <c r="G9" s="70">
        <f t="shared" si="2"/>
        <v>-3.564967999999908</v>
      </c>
    </row>
    <row r="10" spans="1:7" s="35" customFormat="1" ht="15">
      <c r="A10" s="9" t="s">
        <v>268</v>
      </c>
      <c r="B10" s="40">
        <v>6.29</v>
      </c>
      <c r="C10" s="40">
        <v>0.35</v>
      </c>
      <c r="D10" s="9">
        <f t="shared" si="0"/>
        <v>1.5189999999999997</v>
      </c>
      <c r="E10" s="9">
        <f t="shared" si="1"/>
        <v>283.93523999999996</v>
      </c>
      <c r="F10" s="39">
        <v>283</v>
      </c>
      <c r="G10" s="70">
        <f t="shared" si="2"/>
        <v>-0.9352399999999648</v>
      </c>
    </row>
    <row r="11" spans="1:7" s="35" customFormat="1" ht="15">
      <c r="A11" s="9" t="s">
        <v>345</v>
      </c>
      <c r="B11" s="11">
        <v>8.97</v>
      </c>
      <c r="C11" s="40">
        <v>0.33</v>
      </c>
      <c r="D11" s="9">
        <f t="shared" si="0"/>
        <v>1.4322</v>
      </c>
      <c r="E11" s="9">
        <f t="shared" si="1"/>
        <v>378.223992</v>
      </c>
      <c r="F11" s="39"/>
      <c r="G11" s="70">
        <f t="shared" si="2"/>
        <v>-378.223992</v>
      </c>
    </row>
    <row r="12" spans="1:7" s="35" customFormat="1" ht="15">
      <c r="A12" s="9" t="s">
        <v>163</v>
      </c>
      <c r="B12" s="11">
        <v>3.79</v>
      </c>
      <c r="C12" s="40">
        <v>0.4</v>
      </c>
      <c r="D12" s="9">
        <f t="shared" si="0"/>
        <v>1.736</v>
      </c>
      <c r="E12" s="9">
        <f t="shared" si="1"/>
        <v>200.92535999999998</v>
      </c>
      <c r="F12" s="39">
        <v>200</v>
      </c>
      <c r="G12" s="70">
        <f t="shared" si="2"/>
        <v>-0.9253599999999835</v>
      </c>
    </row>
    <row r="13" spans="1:7" s="35" customFormat="1" ht="15">
      <c r="A13" s="9" t="s">
        <v>260</v>
      </c>
      <c r="B13" s="64">
        <v>3.84</v>
      </c>
      <c r="C13" s="64">
        <v>0.14</v>
      </c>
      <c r="D13" s="9">
        <f t="shared" si="0"/>
        <v>0.6076</v>
      </c>
      <c r="E13" s="51"/>
      <c r="F13" s="52"/>
      <c r="G13" s="71"/>
    </row>
    <row r="14" spans="1:7" s="43" customFormat="1" ht="15">
      <c r="A14" s="41"/>
      <c r="B14" s="41"/>
      <c r="C14" s="41">
        <f>SUM(C4:C13)</f>
        <v>5</v>
      </c>
      <c r="D14" s="41">
        <v>21.7</v>
      </c>
      <c r="E14" s="41"/>
      <c r="F14" s="41"/>
      <c r="G14" s="41"/>
    </row>
    <row r="17" ht="31.5">
      <c r="A17" s="49" t="s">
        <v>439</v>
      </c>
    </row>
    <row r="18" spans="1:2" ht="15">
      <c r="A18" s="87" t="s">
        <v>56</v>
      </c>
      <c r="B18" s="88"/>
    </row>
    <row r="19" spans="1:2" ht="15">
      <c r="A19" s="40"/>
      <c r="B19" s="86" t="s">
        <v>440</v>
      </c>
    </row>
    <row r="20" spans="1:2" ht="15">
      <c r="A20" s="87" t="s">
        <v>172</v>
      </c>
      <c r="B20" s="88"/>
    </row>
    <row r="21" spans="1:2" ht="15">
      <c r="A21" s="40"/>
      <c r="B21" s="86" t="s">
        <v>441</v>
      </c>
    </row>
  </sheetData>
  <sheetProtection selectLockedCells="1" selectUnlockedCells="1"/>
  <hyperlinks>
    <hyperlink ref="B19" r:id="rId1" display="http://www.iherb.com/product-reviews/FutureBiotics-The-30-Day-Beauty-Secret-30-Packets/3632/?p=1"/>
    <hyperlink ref="B21" r:id="rId2" display="http://ru.iherb.com/Thayers-Rose-Petal-Witch-Hazel-with-Aloe-Vera-Formula-Alcohol-Free-Toner-12-fl-oz-355-ml/6792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indexed="10"/>
  </sheetPr>
  <dimension ref="A1:G22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22.7109375" style="0" customWidth="1"/>
    <col min="2" max="2" width="20.140625" style="0" customWidth="1"/>
  </cols>
  <sheetData>
    <row r="1" spans="1:5" s="28" customFormat="1" ht="21">
      <c r="A1" s="29" t="s">
        <v>251</v>
      </c>
      <c r="B1" s="30">
        <v>41737</v>
      </c>
      <c r="C1" s="31" t="s">
        <v>252</v>
      </c>
      <c r="D1" s="48">
        <v>36.36</v>
      </c>
      <c r="E1" s="28" t="s">
        <v>253</v>
      </c>
    </row>
    <row r="2" s="28" customFormat="1" ht="15">
      <c r="A2" s="46"/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235</v>
      </c>
      <c r="B4" s="64">
        <v>32.6</v>
      </c>
      <c r="C4" s="64">
        <v>0.6</v>
      </c>
      <c r="D4" s="9">
        <f aca="true" t="shared" si="0" ref="D4:D10">C4/$C$11*$D$11</f>
        <v>2.613932945191728</v>
      </c>
      <c r="E4" s="9">
        <f aca="true" t="shared" si="1" ref="E4:E9">(B4+D4)*$D$1</f>
        <v>1280.3786018871713</v>
      </c>
      <c r="F4" s="39">
        <v>1277</v>
      </c>
      <c r="G4" s="70">
        <f aca="true" t="shared" si="2" ref="G4:G9">-E4+F4</f>
        <v>-3.3786018871712713</v>
      </c>
    </row>
    <row r="5" spans="1:7" s="35" customFormat="1" ht="15">
      <c r="A5" s="9" t="s">
        <v>11</v>
      </c>
      <c r="B5" s="64">
        <v>6.1</v>
      </c>
      <c r="C5" s="40">
        <v>0.32</v>
      </c>
      <c r="D5" s="9">
        <f t="shared" si="0"/>
        <v>1.394097570768922</v>
      </c>
      <c r="E5" s="9">
        <f t="shared" si="1"/>
        <v>272.485387673158</v>
      </c>
      <c r="F5" s="39">
        <v>272</v>
      </c>
      <c r="G5" s="70">
        <f t="shared" si="2"/>
        <v>-0.4853876731580158</v>
      </c>
    </row>
    <row r="6" spans="1:7" s="35" customFormat="1" ht="15">
      <c r="A6" s="9" t="s">
        <v>84</v>
      </c>
      <c r="B6" s="11">
        <v>3.79</v>
      </c>
      <c r="C6" s="40">
        <v>0.4</v>
      </c>
      <c r="D6" s="9">
        <f t="shared" si="0"/>
        <v>1.7426219634611524</v>
      </c>
      <c r="E6" s="9">
        <f t="shared" si="1"/>
        <v>201.1661345914475</v>
      </c>
      <c r="F6" s="39">
        <v>175</v>
      </c>
      <c r="G6" s="70">
        <f t="shared" si="2"/>
        <v>-26.166134591447502</v>
      </c>
    </row>
    <row r="7" spans="1:7" s="35" customFormat="1" ht="15">
      <c r="A7" s="9" t="s">
        <v>345</v>
      </c>
      <c r="B7" s="64">
        <v>15.77</v>
      </c>
      <c r="C7" s="64">
        <v>0.54</v>
      </c>
      <c r="D7" s="9">
        <f t="shared" si="0"/>
        <v>2.3525396506725555</v>
      </c>
      <c r="E7" s="9">
        <f t="shared" si="1"/>
        <v>658.935541698454</v>
      </c>
      <c r="F7" s="39">
        <v>1034</v>
      </c>
      <c r="G7" s="70">
        <f t="shared" si="2"/>
        <v>375.064458301546</v>
      </c>
    </row>
    <row r="8" spans="1:7" s="35" customFormat="1" ht="15">
      <c r="A8" s="9" t="s">
        <v>25</v>
      </c>
      <c r="B8" s="11">
        <v>21.94</v>
      </c>
      <c r="C8" s="11">
        <v>0.72</v>
      </c>
      <c r="D8" s="9">
        <f t="shared" si="0"/>
        <v>3.136719534230074</v>
      </c>
      <c r="E8" s="9">
        <f t="shared" si="1"/>
        <v>911.7895222646056</v>
      </c>
      <c r="F8" s="39">
        <v>913</v>
      </c>
      <c r="G8" s="70">
        <f t="shared" si="2"/>
        <v>1.21047773539442</v>
      </c>
    </row>
    <row r="9" spans="1:7" s="35" customFormat="1" ht="15">
      <c r="A9" s="9" t="s">
        <v>65</v>
      </c>
      <c r="B9" s="11">
        <v>38.85</v>
      </c>
      <c r="C9" s="40">
        <v>0.841</v>
      </c>
      <c r="D9" s="9">
        <f t="shared" si="0"/>
        <v>3.663862678177073</v>
      </c>
      <c r="E9" s="9">
        <f t="shared" si="1"/>
        <v>1545.8040469785185</v>
      </c>
      <c r="F9" s="39">
        <v>1541</v>
      </c>
      <c r="G9" s="70">
        <f t="shared" si="2"/>
        <v>-4.8040469785185</v>
      </c>
    </row>
    <row r="10" spans="1:7" s="35" customFormat="1" ht="15">
      <c r="A10" s="9" t="s">
        <v>260</v>
      </c>
      <c r="B10" s="64">
        <v>30.56</v>
      </c>
      <c r="C10" s="64">
        <v>1.56</v>
      </c>
      <c r="D10" s="9">
        <f t="shared" si="0"/>
        <v>6.7962256574984945</v>
      </c>
      <c r="E10" s="51"/>
      <c r="F10" s="52"/>
      <c r="G10" s="71"/>
    </row>
    <row r="11" spans="1:7" s="43" customFormat="1" ht="15">
      <c r="A11" s="41"/>
      <c r="B11" s="41"/>
      <c r="C11" s="41">
        <f>SUM(C4:C10)</f>
        <v>4.981</v>
      </c>
      <c r="D11" s="41">
        <v>21.7</v>
      </c>
      <c r="E11" s="41"/>
      <c r="F11" s="41"/>
      <c r="G11" s="41"/>
    </row>
    <row r="14" ht="31.5">
      <c r="A14" s="49" t="s">
        <v>439</v>
      </c>
    </row>
    <row r="15" spans="1:2" ht="15">
      <c r="A15" s="87" t="s">
        <v>65</v>
      </c>
      <c r="B15" s="89"/>
    </row>
    <row r="16" spans="1:2" ht="15">
      <c r="A16" s="90"/>
      <c r="B16" s="86" t="s">
        <v>442</v>
      </c>
    </row>
    <row r="17" spans="1:2" ht="15">
      <c r="A17" s="90"/>
      <c r="B17" s="86" t="s">
        <v>443</v>
      </c>
    </row>
    <row r="18" spans="1:2" ht="15">
      <c r="A18" s="87" t="s">
        <v>235</v>
      </c>
      <c r="B18" s="89"/>
    </row>
    <row r="19" spans="1:2" ht="15">
      <c r="A19" s="90"/>
      <c r="B19" s="86" t="s">
        <v>444</v>
      </c>
    </row>
    <row r="20" spans="1:2" ht="15">
      <c r="A20" s="90" t="s">
        <v>445</v>
      </c>
      <c r="B20" s="86" t="s">
        <v>446</v>
      </c>
    </row>
    <row r="21" spans="1:2" ht="15">
      <c r="A21" s="87" t="s">
        <v>25</v>
      </c>
      <c r="B21" s="89"/>
    </row>
    <row r="22" spans="1:2" ht="15">
      <c r="A22" s="90"/>
      <c r="B22" s="86" t="s">
        <v>447</v>
      </c>
    </row>
  </sheetData>
  <sheetProtection selectLockedCells="1" selectUnlockedCells="1"/>
  <hyperlinks>
    <hyperlink ref="B16" r:id="rId1" display="http://ru.iherb.com/product-reviews/Thayers-Rose-Petal-Witch-Hazel-with-Aloe-Vera-Formula-Alcohol-Free-Toner-12-fl-oz-355-ml/6792/?p=1 "/>
    <hyperlink ref="B17" r:id="rId2" display="http://ru.iherb.com/product-reviews/Real-Techniques-by-Samantha-Chapman-Miracle-Complexion-Sponge-1-Sponge/52027/?p=1 "/>
    <hyperlink ref="B19" r:id="rId3" display="http://www.iherb.com/Jason-Natural-100-Organic-Oil-Tea-Tree-1-fl-oz-30-ml/19476#p=1&amp;oos=1&amp;disc=0&amp;lc=en-US&amp;w=Jason%20Purifying%20Tea%20Tree%20100%25%20Organic%20Oil&amp;rc=292&amp;sr=null&amp;ic=1 "/>
    <hyperlink ref="B20" r:id="rId4" display="http://www.iherb.com/Jason-Natural-Nail-Saver-Tea-Tree-0-5-fl-oz-15-ml/6237 "/>
    <hyperlink ref="B22" r:id="rId5" display="http://www.iherb.com/Port-Trading-Co-J-R-Rooibos-Red-Tea-Caffeine-Free-20-Tea-Bags-1-765-oz-50-g/23775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="71" zoomScaleNormal="71"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41140</v>
      </c>
      <c r="C1" s="31" t="s">
        <v>252</v>
      </c>
      <c r="D1" s="32">
        <v>32.02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11" t="s">
        <v>259</v>
      </c>
      <c r="G3" s="28"/>
    </row>
    <row r="4" spans="1:7" s="35" customFormat="1" ht="15">
      <c r="A4" s="9" t="s">
        <v>16</v>
      </c>
      <c r="B4" s="9">
        <v>35.06</v>
      </c>
      <c r="C4" s="9">
        <v>1.61</v>
      </c>
      <c r="D4" s="9">
        <f>C4/C6*D6</f>
        <v>3.577777777777778</v>
      </c>
      <c r="E4" s="9">
        <f>(B4+D4)*$D$1</f>
        <v>1237.1816444444446</v>
      </c>
      <c r="F4" s="11">
        <v>1237</v>
      </c>
      <c r="G4" s="28"/>
    </row>
    <row r="5" spans="1:6" ht="15">
      <c r="A5" s="9" t="s">
        <v>260</v>
      </c>
      <c r="B5" s="9">
        <v>17.1</v>
      </c>
      <c r="C5" s="9">
        <v>0.19</v>
      </c>
      <c r="D5" s="9"/>
      <c r="E5" s="9">
        <f>(B5+C5+D5)*$D$1</f>
        <v>553.6258000000001</v>
      </c>
      <c r="F5" s="11"/>
    </row>
    <row r="6" spans="1:6" ht="15">
      <c r="A6" s="36"/>
      <c r="B6" s="36"/>
      <c r="C6" s="36">
        <f>SUM(C4:C5)</f>
        <v>1.8</v>
      </c>
      <c r="D6" s="36">
        <v>4</v>
      </c>
      <c r="E6" s="36">
        <f>(B6+C6+D6)*$D$1</f>
        <v>185.716</v>
      </c>
      <c r="F6" s="37"/>
    </row>
    <row r="9" ht="15">
      <c r="A9" s="38" t="s">
        <v>261</v>
      </c>
    </row>
    <row r="10" ht="15">
      <c r="A10" s="38" t="s">
        <v>262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41224</v>
      </c>
      <c r="C1" s="31" t="s">
        <v>252</v>
      </c>
      <c r="D1" s="32">
        <v>31.61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260</v>
      </c>
      <c r="B4" s="9">
        <v>29.48</v>
      </c>
      <c r="C4" s="9">
        <v>0.67</v>
      </c>
      <c r="D4" s="9">
        <f>C4/$C$8*$D$8</f>
        <v>1.7434944237918213</v>
      </c>
      <c r="E4" s="9"/>
      <c r="F4" s="39"/>
      <c r="G4" s="39"/>
    </row>
    <row r="5" spans="1:7" ht="15">
      <c r="A5" s="11" t="s">
        <v>36</v>
      </c>
      <c r="B5" s="11">
        <v>20.33</v>
      </c>
      <c r="C5" s="11">
        <v>1.18</v>
      </c>
      <c r="D5" s="9">
        <f>C5/$C$8*$D$8</f>
        <v>3.0706319702602225</v>
      </c>
      <c r="E5" s="9">
        <f>(B5+D5)*$D$1</f>
        <v>739.6939765799256</v>
      </c>
      <c r="F5" s="11">
        <v>1050</v>
      </c>
      <c r="G5" s="39">
        <f>-E5+F5</f>
        <v>310.30602342007444</v>
      </c>
    </row>
    <row r="6" spans="1:7" s="35" customFormat="1" ht="15">
      <c r="A6" s="9" t="s">
        <v>188</v>
      </c>
      <c r="B6" s="9">
        <v>12.95</v>
      </c>
      <c r="C6" s="9">
        <v>0.16</v>
      </c>
      <c r="D6" s="9">
        <f>C6/$C$8*$D$8</f>
        <v>0.41635687732342</v>
      </c>
      <c r="E6" s="9">
        <f>(B6+D6)*$D$1</f>
        <v>422.51054089219326</v>
      </c>
      <c r="F6" s="39">
        <v>425</v>
      </c>
      <c r="G6" s="39">
        <f>-E6+F6</f>
        <v>2.489459107806738</v>
      </c>
    </row>
    <row r="7" spans="1:7" ht="15">
      <c r="A7" s="13" t="s">
        <v>216</v>
      </c>
      <c r="B7" s="9">
        <v>19.41</v>
      </c>
      <c r="C7" s="9">
        <v>0.68</v>
      </c>
      <c r="D7" s="9">
        <f>C7/$C$8*$D$8</f>
        <v>1.7695167286245352</v>
      </c>
      <c r="E7" s="9">
        <f>(B7+D7)*$D$1</f>
        <v>669.4845237918215</v>
      </c>
      <c r="F7" s="39">
        <v>674</v>
      </c>
      <c r="G7" s="39">
        <f>-E7+F7</f>
        <v>4.515476208178484</v>
      </c>
    </row>
    <row r="8" spans="1:7" ht="15">
      <c r="A8" s="36"/>
      <c r="B8" s="36"/>
      <c r="C8" s="36">
        <f>SUM(C4:C7)</f>
        <v>2.6900000000000004</v>
      </c>
      <c r="D8" s="36">
        <v>7</v>
      </c>
      <c r="E8" s="36"/>
      <c r="F8" s="11"/>
      <c r="G8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indexed="10"/>
  </sheetPr>
  <dimension ref="A1:G28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22.7109375" style="0" customWidth="1"/>
    <col min="2" max="2" width="20.140625" style="0" customWidth="1"/>
    <col min="6" max="6" width="12.28125" style="0" customWidth="1"/>
  </cols>
  <sheetData>
    <row r="1" spans="1:5" s="28" customFormat="1" ht="21">
      <c r="A1" s="29" t="s">
        <v>251</v>
      </c>
      <c r="B1" s="30">
        <v>41742</v>
      </c>
      <c r="C1" s="31" t="s">
        <v>252</v>
      </c>
      <c r="D1" s="48">
        <v>36.58</v>
      </c>
      <c r="E1" s="28" t="s">
        <v>253</v>
      </c>
    </row>
    <row r="2" s="28" customFormat="1" ht="15">
      <c r="A2" s="46"/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359</v>
      </c>
      <c r="B4" s="91">
        <v>5.76</v>
      </c>
      <c r="C4" s="56">
        <v>0.48</v>
      </c>
      <c r="D4" s="9">
        <f aca="true" t="shared" si="0" ref="D4:D11">C4/$C$12*$D$12</f>
        <v>2.1127789046653143</v>
      </c>
      <c r="E4" s="9">
        <f aca="true" t="shared" si="1" ref="E4:E10">(B4+D4)*$D$1</f>
        <v>287.98625233265716</v>
      </c>
      <c r="F4" s="39">
        <v>285</v>
      </c>
      <c r="G4" s="70">
        <f aca="true" t="shared" si="2" ref="G4:G10">-E4+F4</f>
        <v>-2.986252332657159</v>
      </c>
    </row>
    <row r="5" spans="1:7" s="35" customFormat="1" ht="15">
      <c r="A5" s="9" t="s">
        <v>123</v>
      </c>
      <c r="B5" s="64">
        <v>11.14</v>
      </c>
      <c r="C5" s="40">
        <v>0.76</v>
      </c>
      <c r="D5" s="9">
        <f t="shared" si="0"/>
        <v>3.345233265720081</v>
      </c>
      <c r="E5" s="9">
        <f t="shared" si="1"/>
        <v>529.8698328600406</v>
      </c>
      <c r="F5" s="39">
        <f>521+87</f>
        <v>608</v>
      </c>
      <c r="G5" s="70">
        <f t="shared" si="2"/>
        <v>78.13016713995944</v>
      </c>
    </row>
    <row r="6" spans="1:7" s="35" customFormat="1" ht="15">
      <c r="A6" s="9" t="s">
        <v>65</v>
      </c>
      <c r="B6" s="11">
        <v>14.6</v>
      </c>
      <c r="C6" s="40">
        <v>0.6</v>
      </c>
      <c r="D6" s="9">
        <f t="shared" si="0"/>
        <v>2.6409736308316427</v>
      </c>
      <c r="E6" s="9">
        <f t="shared" si="1"/>
        <v>630.6748154158215</v>
      </c>
      <c r="F6" s="39">
        <v>625</v>
      </c>
      <c r="G6" s="70">
        <f t="shared" si="2"/>
        <v>-5.674815415821513</v>
      </c>
    </row>
    <row r="7" spans="1:7" s="35" customFormat="1" ht="15">
      <c r="A7" s="9" t="s">
        <v>323</v>
      </c>
      <c r="B7" s="11">
        <v>18.72</v>
      </c>
      <c r="C7" s="40">
        <v>0.24</v>
      </c>
      <c r="D7" s="9">
        <f t="shared" si="0"/>
        <v>1.0563894523326571</v>
      </c>
      <c r="E7" s="9">
        <f t="shared" si="1"/>
        <v>723.4203261663284</v>
      </c>
      <c r="F7" s="39">
        <v>690</v>
      </c>
      <c r="G7" s="70">
        <f t="shared" si="2"/>
        <v>-33.42032616632844</v>
      </c>
    </row>
    <row r="8" spans="1:7" s="35" customFormat="1" ht="15">
      <c r="A8" s="9" t="s">
        <v>172</v>
      </c>
      <c r="B8" s="11">
        <v>8.6</v>
      </c>
      <c r="C8" s="11">
        <v>0.48</v>
      </c>
      <c r="D8" s="9">
        <f t="shared" si="0"/>
        <v>2.1127789046653143</v>
      </c>
      <c r="E8" s="9">
        <f t="shared" si="1"/>
        <v>391.87345233265717</v>
      </c>
      <c r="F8" s="39">
        <v>500</v>
      </c>
      <c r="G8" s="70">
        <f t="shared" si="2"/>
        <v>108.12654766734283</v>
      </c>
    </row>
    <row r="9" spans="1:7" s="35" customFormat="1" ht="15">
      <c r="A9" s="9" t="s">
        <v>56</v>
      </c>
      <c r="B9" s="40">
        <v>12.44</v>
      </c>
      <c r="C9" s="11">
        <v>0.34</v>
      </c>
      <c r="D9" s="9">
        <f t="shared" si="0"/>
        <v>1.4965517241379314</v>
      </c>
      <c r="E9" s="9">
        <f t="shared" si="1"/>
        <v>509.7990620689655</v>
      </c>
      <c r="F9" s="39">
        <v>500</v>
      </c>
      <c r="G9" s="70">
        <f t="shared" si="2"/>
        <v>-9.799062068965497</v>
      </c>
    </row>
    <row r="10" spans="1:7" s="35" customFormat="1" ht="15">
      <c r="A10" s="9" t="s">
        <v>25</v>
      </c>
      <c r="B10" s="11">
        <v>3.36</v>
      </c>
      <c r="C10" s="11">
        <v>0.11</v>
      </c>
      <c r="D10" s="9">
        <f t="shared" si="0"/>
        <v>0.4841784989858012</v>
      </c>
      <c r="E10" s="9">
        <f t="shared" si="1"/>
        <v>140.6200494929006</v>
      </c>
      <c r="F10" s="39"/>
      <c r="G10" s="70">
        <f t="shared" si="2"/>
        <v>-140.6200494929006</v>
      </c>
    </row>
    <row r="11" spans="1:7" s="35" customFormat="1" ht="15">
      <c r="A11" s="9" t="s">
        <v>260</v>
      </c>
      <c r="B11" s="64">
        <v>73.5</v>
      </c>
      <c r="C11" s="64">
        <v>1.92</v>
      </c>
      <c r="D11" s="9">
        <f t="shared" si="0"/>
        <v>8.451115618661257</v>
      </c>
      <c r="E11" s="51"/>
      <c r="F11" s="52"/>
      <c r="G11" s="71"/>
    </row>
    <row r="12" spans="1:7" s="43" customFormat="1" ht="15">
      <c r="A12" s="41"/>
      <c r="B12" s="41"/>
      <c r="C12" s="41">
        <f>SUM(C4:C11)</f>
        <v>4.93</v>
      </c>
      <c r="D12" s="41">
        <v>21.7</v>
      </c>
      <c r="E12" s="41"/>
      <c r="F12" s="41"/>
      <c r="G12" s="41"/>
    </row>
    <row r="15" ht="31.5">
      <c r="A15" s="49"/>
    </row>
    <row r="16" ht="31.5">
      <c r="A16" s="49"/>
    </row>
    <row r="17" ht="31.5">
      <c r="A17" s="49"/>
    </row>
    <row r="18" ht="31.5">
      <c r="A18" s="49"/>
    </row>
    <row r="19" ht="31.5">
      <c r="A19" s="49"/>
    </row>
    <row r="20" ht="31.5">
      <c r="A20" s="49"/>
    </row>
    <row r="21" ht="31.5">
      <c r="A21" s="49"/>
    </row>
    <row r="22" ht="31.5">
      <c r="A22" s="49"/>
    </row>
    <row r="23" ht="31.5">
      <c r="A23" s="49"/>
    </row>
    <row r="24" ht="31.5">
      <c r="A24" s="49"/>
    </row>
    <row r="25" ht="31.5">
      <c r="A25" s="49"/>
    </row>
    <row r="26" ht="31.5">
      <c r="A26" s="49"/>
    </row>
    <row r="27" ht="31.5">
      <c r="A27" s="49"/>
    </row>
    <row r="28" ht="31.5">
      <c r="A28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indexed="10"/>
  </sheetPr>
  <dimension ref="A1:G2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2.7109375" style="0" customWidth="1"/>
    <col min="2" max="2" width="20.140625" style="0" customWidth="1"/>
    <col min="6" max="6" width="12.28125" style="0" customWidth="1"/>
  </cols>
  <sheetData>
    <row r="1" spans="1:5" s="28" customFormat="1" ht="21">
      <c r="A1" s="29" t="s">
        <v>251</v>
      </c>
      <c r="B1" s="30">
        <v>41750</v>
      </c>
      <c r="C1" s="31" t="s">
        <v>252</v>
      </c>
      <c r="D1" s="48">
        <v>36.27</v>
      </c>
      <c r="E1" s="28" t="s">
        <v>253</v>
      </c>
    </row>
    <row r="2" s="28" customFormat="1" ht="15">
      <c r="A2" s="46"/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235</v>
      </c>
      <c r="B4" s="91">
        <v>29.19</v>
      </c>
      <c r="C4" s="56">
        <v>0.33</v>
      </c>
      <c r="D4" s="9">
        <f aca="true" t="shared" si="0" ref="D4:D9">C4/$C$10*$D$10</f>
        <v>1.4466666666666665</v>
      </c>
      <c r="E4" s="9">
        <f>(B4+D4)*$D$1</f>
        <v>1111.1919</v>
      </c>
      <c r="F4" s="39">
        <v>1115</v>
      </c>
      <c r="G4" s="70">
        <f>-E4+F4</f>
        <v>3.8080999999999676</v>
      </c>
    </row>
    <row r="5" spans="1:7" s="35" customFormat="1" ht="15">
      <c r="A5" s="9" t="s">
        <v>73</v>
      </c>
      <c r="B5" s="64">
        <v>52.54</v>
      </c>
      <c r="C5" s="40">
        <v>1.66</v>
      </c>
      <c r="D5" s="9">
        <f t="shared" si="0"/>
        <v>7.277171717171717</v>
      </c>
      <c r="E5" s="9">
        <f>(B5+D5)*$D$1</f>
        <v>2169.568818181818</v>
      </c>
      <c r="F5" s="39">
        <f>2165+6</f>
        <v>2171</v>
      </c>
      <c r="G5" s="70">
        <f>-E5+F5</f>
        <v>1.4311818181818126</v>
      </c>
    </row>
    <row r="6" spans="1:7" s="35" customFormat="1" ht="15">
      <c r="A6" s="9" t="s">
        <v>226</v>
      </c>
      <c r="B6" s="40">
        <v>13.63</v>
      </c>
      <c r="C6" s="40">
        <v>0.32</v>
      </c>
      <c r="D6" s="9">
        <f t="shared" si="0"/>
        <v>1.4028282828282828</v>
      </c>
      <c r="E6" s="9">
        <f>(B6+D6)*$D$1</f>
        <v>545.2406818181819</v>
      </c>
      <c r="F6" s="39">
        <v>547</v>
      </c>
      <c r="G6" s="70">
        <f>-E6+F6</f>
        <v>1.7593181818181165</v>
      </c>
    </row>
    <row r="7" spans="1:7" s="35" customFormat="1" ht="15">
      <c r="A7" s="9" t="s">
        <v>96</v>
      </c>
      <c r="B7" s="11">
        <v>46.64</v>
      </c>
      <c r="C7" s="40">
        <v>1.11</v>
      </c>
      <c r="D7" s="9">
        <f t="shared" si="0"/>
        <v>4.866060606060606</v>
      </c>
      <c r="E7" s="9">
        <f>(B7+D7)*$D$1</f>
        <v>1868.1248181818185</v>
      </c>
      <c r="F7" s="39">
        <v>1874</v>
      </c>
      <c r="G7" s="70">
        <f>-E7+F7</f>
        <v>5.875181818181545</v>
      </c>
    </row>
    <row r="8" spans="1:7" s="35" customFormat="1" ht="15">
      <c r="A8" s="9" t="s">
        <v>359</v>
      </c>
      <c r="B8" s="40">
        <v>2.99</v>
      </c>
      <c r="C8" s="40">
        <v>0.08</v>
      </c>
      <c r="D8" s="9">
        <f t="shared" si="0"/>
        <v>0.3507070707070707</v>
      </c>
      <c r="E8" s="9">
        <f>(B8+D8)*$D$1</f>
        <v>121.16744545454547</v>
      </c>
      <c r="F8" s="39">
        <v>118</v>
      </c>
      <c r="G8" s="70">
        <f>-E8+F8</f>
        <v>-3.167445454545472</v>
      </c>
    </row>
    <row r="9" spans="1:7" s="35" customFormat="1" ht="15">
      <c r="A9" s="9" t="s">
        <v>260</v>
      </c>
      <c r="B9" s="64">
        <v>27.21</v>
      </c>
      <c r="C9" s="64">
        <v>1.45</v>
      </c>
      <c r="D9" s="9">
        <f t="shared" si="0"/>
        <v>6.356565656565657</v>
      </c>
      <c r="E9" s="51"/>
      <c r="F9" s="52"/>
      <c r="G9" s="71"/>
    </row>
    <row r="10" spans="1:7" s="43" customFormat="1" ht="15">
      <c r="A10" s="41"/>
      <c r="B10" s="41"/>
      <c r="C10" s="41">
        <f>SUM(C4:C9)</f>
        <v>4.95</v>
      </c>
      <c r="D10" s="41">
        <v>21.7</v>
      </c>
      <c r="E10" s="41"/>
      <c r="F10" s="41"/>
      <c r="G10" s="41"/>
    </row>
    <row r="13" ht="31.5">
      <c r="A13" s="49"/>
    </row>
    <row r="14" ht="31.5">
      <c r="A14" s="49"/>
    </row>
    <row r="15" ht="31.5">
      <c r="A15" s="49"/>
    </row>
    <row r="16" ht="31.5">
      <c r="A16" s="49"/>
    </row>
    <row r="17" ht="31.5">
      <c r="A17" s="49"/>
    </row>
    <row r="18" ht="31.5">
      <c r="A18" s="49"/>
    </row>
    <row r="19" ht="31.5">
      <c r="A19" s="49"/>
    </row>
    <row r="20" ht="31.5">
      <c r="A20" s="49"/>
    </row>
    <row r="21" ht="31.5">
      <c r="A21" s="49"/>
    </row>
    <row r="22" ht="31.5">
      <c r="A22" s="49"/>
    </row>
    <row r="23" ht="31.5">
      <c r="A23" s="49"/>
    </row>
    <row r="24" ht="31.5">
      <c r="A24" s="49"/>
    </row>
    <row r="25" ht="31.5">
      <c r="A25" s="49"/>
    </row>
    <row r="26" ht="31.5">
      <c r="A26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22.7109375" style="0" customWidth="1"/>
    <col min="2" max="2" width="20.140625" style="0" customWidth="1"/>
    <col min="6" max="6" width="12.28125" style="0" customWidth="1"/>
  </cols>
  <sheetData>
    <row r="1" spans="1:5" s="28" customFormat="1" ht="21">
      <c r="A1" s="29" t="s">
        <v>251</v>
      </c>
      <c r="B1" s="30">
        <v>41750</v>
      </c>
      <c r="C1" s="31" t="s">
        <v>252</v>
      </c>
      <c r="D1" s="48">
        <v>36.27</v>
      </c>
      <c r="E1" s="28" t="s">
        <v>253</v>
      </c>
    </row>
    <row r="2" s="28" customFormat="1" ht="15">
      <c r="A2" s="46"/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115</v>
      </c>
      <c r="B4" s="11">
        <v>7.67</v>
      </c>
      <c r="C4" s="11">
        <v>0.14</v>
      </c>
      <c r="D4" s="9">
        <f aca="true" t="shared" si="0" ref="D4:D10">C4/$C$11*$D$11</f>
        <v>0.6162271805273835</v>
      </c>
      <c r="E4" s="9">
        <f aca="true" t="shared" si="1" ref="E4:E9">(B4+D4)*$D$1</f>
        <v>300.5414598377282</v>
      </c>
      <c r="F4" s="39">
        <v>301</v>
      </c>
      <c r="G4" s="70">
        <f aca="true" t="shared" si="2" ref="G4:G9">-E4+F4</f>
        <v>0.4585401622717882</v>
      </c>
    </row>
    <row r="5" spans="1:7" s="35" customFormat="1" ht="15">
      <c r="A5" s="9" t="s">
        <v>74</v>
      </c>
      <c r="B5" s="64">
        <v>11.14</v>
      </c>
      <c r="C5" s="40">
        <v>0.76</v>
      </c>
      <c r="D5" s="9">
        <f t="shared" si="0"/>
        <v>3.345233265720081</v>
      </c>
      <c r="E5" s="9">
        <f t="shared" si="1"/>
        <v>525.3794105476674</v>
      </c>
      <c r="F5" s="39">
        <v>527</v>
      </c>
      <c r="G5" s="70">
        <f t="shared" si="2"/>
        <v>1.6205894523326378</v>
      </c>
    </row>
    <row r="6" spans="1:7" s="35" customFormat="1" ht="15">
      <c r="A6" s="9" t="s">
        <v>25</v>
      </c>
      <c r="B6" s="11">
        <v>17.19</v>
      </c>
      <c r="C6" s="40">
        <v>0.92</v>
      </c>
      <c r="D6" s="9">
        <f t="shared" si="0"/>
        <v>4.04949290060852</v>
      </c>
      <c r="E6" s="9">
        <f t="shared" si="1"/>
        <v>770.3564075050712</v>
      </c>
      <c r="F6" s="39">
        <v>915</v>
      </c>
      <c r="G6" s="70">
        <f t="shared" si="2"/>
        <v>144.64359249492884</v>
      </c>
    </row>
    <row r="7" spans="1:7" s="35" customFormat="1" ht="15">
      <c r="A7" s="9" t="s">
        <v>56</v>
      </c>
      <c r="B7" s="40">
        <v>25.49</v>
      </c>
      <c r="C7" s="40">
        <v>0.36</v>
      </c>
      <c r="D7" s="9">
        <f t="shared" si="0"/>
        <v>1.5845841784989858</v>
      </c>
      <c r="E7" s="9">
        <f t="shared" si="1"/>
        <v>981.9951681541583</v>
      </c>
      <c r="F7" s="39">
        <f>989+4</f>
        <v>993</v>
      </c>
      <c r="G7" s="70">
        <f t="shared" si="2"/>
        <v>11.00483184584175</v>
      </c>
    </row>
    <row r="8" spans="1:7" s="35" customFormat="1" ht="15">
      <c r="A8" s="9" t="s">
        <v>196</v>
      </c>
      <c r="B8" s="11">
        <v>18.72</v>
      </c>
      <c r="C8" s="11">
        <v>0.24</v>
      </c>
      <c r="D8" s="9">
        <f t="shared" si="0"/>
        <v>1.0563894523326571</v>
      </c>
      <c r="E8" s="9">
        <f t="shared" si="1"/>
        <v>717.2896454361055</v>
      </c>
      <c r="F8" s="39">
        <v>720</v>
      </c>
      <c r="G8" s="70">
        <f t="shared" si="2"/>
        <v>2.710354563894498</v>
      </c>
    </row>
    <row r="9" spans="1:7" s="35" customFormat="1" ht="15">
      <c r="A9" s="9" t="s">
        <v>143</v>
      </c>
      <c r="B9" s="40">
        <v>62.37</v>
      </c>
      <c r="C9" s="11">
        <v>1.21</v>
      </c>
      <c r="D9" s="9">
        <f t="shared" si="0"/>
        <v>5.325963488843813</v>
      </c>
      <c r="E9" s="9">
        <f t="shared" si="1"/>
        <v>2455.3325957403654</v>
      </c>
      <c r="F9" s="39">
        <v>2500</v>
      </c>
      <c r="G9" s="70">
        <f t="shared" si="2"/>
        <v>44.66740425963462</v>
      </c>
    </row>
    <row r="10" spans="1:7" s="35" customFormat="1" ht="15">
      <c r="A10" s="9" t="s">
        <v>260</v>
      </c>
      <c r="B10" s="64">
        <v>22.61</v>
      </c>
      <c r="C10" s="64">
        <v>1.3</v>
      </c>
      <c r="D10" s="9">
        <f t="shared" si="0"/>
        <v>5.7221095334685605</v>
      </c>
      <c r="E10" s="51"/>
      <c r="F10" s="52"/>
      <c r="G10" s="71"/>
    </row>
    <row r="11" spans="1:7" s="43" customFormat="1" ht="15">
      <c r="A11" s="41"/>
      <c r="B11" s="41"/>
      <c r="C11" s="41">
        <f>SUM(C4:C10)</f>
        <v>4.93</v>
      </c>
      <c r="D11" s="41">
        <v>21.7</v>
      </c>
      <c r="E11" s="41"/>
      <c r="F11" s="41"/>
      <c r="G11" s="41"/>
    </row>
    <row r="14" ht="31.5">
      <c r="A14" s="49"/>
    </row>
    <row r="15" ht="31.5">
      <c r="A15" s="49"/>
    </row>
    <row r="16" ht="31.5">
      <c r="A16" s="49"/>
    </row>
    <row r="17" ht="31.5">
      <c r="A17" s="49"/>
    </row>
    <row r="18" ht="31.5">
      <c r="A18" s="49"/>
    </row>
    <row r="19" ht="31.5">
      <c r="A19" s="49"/>
    </row>
    <row r="20" ht="31.5">
      <c r="A20" s="49"/>
    </row>
    <row r="21" ht="31.5">
      <c r="A21" s="49"/>
    </row>
    <row r="22" ht="31.5">
      <c r="A22" s="49"/>
    </row>
    <row r="23" ht="31.5">
      <c r="A23" s="49"/>
    </row>
    <row r="24" ht="31.5">
      <c r="A24" s="49"/>
    </row>
    <row r="25" ht="31.5">
      <c r="A25" s="49"/>
    </row>
    <row r="26" ht="31.5">
      <c r="A26" s="49"/>
    </row>
    <row r="27" ht="31.5">
      <c r="A27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indexed="10"/>
  </sheetPr>
  <dimension ref="A1:G25"/>
  <sheetViews>
    <sheetView zoomScale="80" zoomScaleNormal="80" zoomScalePageLayoutView="0" workbookViewId="0" topLeftCell="A1">
      <selection activeCell="D1" sqref="D1"/>
    </sheetView>
  </sheetViews>
  <sheetFormatPr defaultColWidth="9.140625" defaultRowHeight="15"/>
  <cols>
    <col min="1" max="1" width="22.7109375" style="0" customWidth="1"/>
    <col min="2" max="2" width="20.140625" style="0" customWidth="1"/>
    <col min="6" max="6" width="12.28125" style="0" customWidth="1"/>
  </cols>
  <sheetData>
    <row r="1" spans="1:5" s="28" customFormat="1" ht="21">
      <c r="A1" s="29" t="s">
        <v>251</v>
      </c>
      <c r="B1" s="30">
        <v>41753</v>
      </c>
      <c r="C1" s="31" t="s">
        <v>252</v>
      </c>
      <c r="D1" s="48">
        <v>36.55</v>
      </c>
      <c r="E1" s="28" t="s">
        <v>253</v>
      </c>
    </row>
    <row r="2" s="28" customFormat="1" ht="15">
      <c r="A2" s="46" t="s">
        <v>448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266</v>
      </c>
      <c r="B4" s="40">
        <v>15.48</v>
      </c>
      <c r="C4" s="40">
        <v>0.23</v>
      </c>
      <c r="D4" s="9">
        <f aca="true" t="shared" si="0" ref="D4:D9">C4/$C$10*$D$10</f>
        <v>1.0002004008016032</v>
      </c>
      <c r="E4" s="9">
        <f>(B4+D4)*$D$1</f>
        <v>602.3513246492986</v>
      </c>
      <c r="F4" s="39">
        <v>875</v>
      </c>
      <c r="G4" s="70">
        <f>-E4+F4</f>
        <v>272.6486753507014</v>
      </c>
    </row>
    <row r="5" spans="1:7" s="35" customFormat="1" ht="15">
      <c r="A5" s="9" t="s">
        <v>206</v>
      </c>
      <c r="B5" s="64">
        <v>34.55</v>
      </c>
      <c r="C5" s="40">
        <v>0.37</v>
      </c>
      <c r="D5" s="9">
        <f t="shared" si="0"/>
        <v>1.609018036072144</v>
      </c>
      <c r="E5" s="9">
        <f>(B5+D5)*$D$1</f>
        <v>1321.6121092184367</v>
      </c>
      <c r="F5" s="39">
        <v>1316</v>
      </c>
      <c r="G5" s="70">
        <f>-E5+F5</f>
        <v>-5.612109218436672</v>
      </c>
    </row>
    <row r="6" spans="1:7" s="35" customFormat="1" ht="15">
      <c r="A6" s="9" t="s">
        <v>92</v>
      </c>
      <c r="B6" s="11">
        <v>18.72</v>
      </c>
      <c r="C6" s="11">
        <v>0.24</v>
      </c>
      <c r="D6" s="9">
        <f t="shared" si="0"/>
        <v>1.043687374749499</v>
      </c>
      <c r="E6" s="9">
        <f>(B6+D6)*$D$1</f>
        <v>722.3627735470941</v>
      </c>
      <c r="F6" s="39">
        <f>717+2</f>
        <v>719</v>
      </c>
      <c r="G6" s="70">
        <f>-E6+F6</f>
        <v>-3.3627735470940934</v>
      </c>
    </row>
    <row r="7" spans="1:7" s="35" customFormat="1" ht="15">
      <c r="A7" s="9" t="s">
        <v>224</v>
      </c>
      <c r="B7" s="64">
        <v>6</v>
      </c>
      <c r="C7" s="64">
        <v>0.12</v>
      </c>
      <c r="D7" s="9">
        <f t="shared" si="0"/>
        <v>0.5218436873747495</v>
      </c>
      <c r="E7" s="9">
        <f>(B7+D7)*$D$1</f>
        <v>238.37338677354708</v>
      </c>
      <c r="F7" s="39">
        <v>230</v>
      </c>
      <c r="G7" s="70">
        <f>-E7+F7</f>
        <v>-8.373386773547082</v>
      </c>
    </row>
    <row r="8" spans="1:7" s="35" customFormat="1" ht="15">
      <c r="A8" s="9" t="s">
        <v>65</v>
      </c>
      <c r="B8" s="11">
        <v>27.99</v>
      </c>
      <c r="C8" s="11">
        <v>3.51</v>
      </c>
      <c r="D8" s="9">
        <f t="shared" si="0"/>
        <v>15.26392785571142</v>
      </c>
      <c r="E8" s="9">
        <f>(B8+D8)*$D$1</f>
        <v>1580.9310631262522</v>
      </c>
      <c r="F8" s="39">
        <v>3238</v>
      </c>
      <c r="G8" s="70">
        <f>-E8+F8</f>
        <v>1657.0689368737478</v>
      </c>
    </row>
    <row r="9" spans="1:7" s="35" customFormat="1" ht="15">
      <c r="A9" s="9" t="s">
        <v>260</v>
      </c>
      <c r="B9" s="64">
        <v>21.82</v>
      </c>
      <c r="C9" s="64">
        <v>0.52</v>
      </c>
      <c r="D9" s="9">
        <f t="shared" si="0"/>
        <v>2.261322645290581</v>
      </c>
      <c r="E9" s="51"/>
      <c r="F9" s="52"/>
      <c r="G9" s="71"/>
    </row>
    <row r="10" spans="1:7" s="43" customFormat="1" ht="15">
      <c r="A10" s="41"/>
      <c r="B10" s="41"/>
      <c r="C10" s="41">
        <f>SUM(C4:C9)</f>
        <v>4.99</v>
      </c>
      <c r="D10" s="41">
        <v>21.7</v>
      </c>
      <c r="E10" s="41"/>
      <c r="F10" s="41"/>
      <c r="G10" s="41"/>
    </row>
    <row r="13" ht="60.75" customHeight="1">
      <c r="A13" s="49" t="s">
        <v>449</v>
      </c>
    </row>
    <row r="14" ht="15">
      <c r="A14" s="92" t="s">
        <v>65</v>
      </c>
    </row>
    <row r="15" ht="15">
      <c r="A15" s="86" t="s">
        <v>450</v>
      </c>
    </row>
    <row r="16" ht="15">
      <c r="A16" s="86" t="s">
        <v>451</v>
      </c>
    </row>
    <row r="17" ht="31.5">
      <c r="A17" s="49"/>
    </row>
    <row r="18" ht="31.5">
      <c r="A18" s="49"/>
    </row>
    <row r="19" ht="31.5">
      <c r="A19" s="49"/>
    </row>
    <row r="20" ht="31.5">
      <c r="A20" s="49"/>
    </row>
    <row r="21" ht="31.5">
      <c r="A21" s="49"/>
    </row>
    <row r="22" ht="31.5">
      <c r="A22" s="49"/>
    </row>
    <row r="23" ht="31.5">
      <c r="A23" s="49"/>
    </row>
    <row r="24" ht="31.5">
      <c r="A24" s="49"/>
    </row>
    <row r="25" ht="31.5">
      <c r="A25" s="49"/>
    </row>
  </sheetData>
  <sheetProtection selectLockedCells="1" selectUnlockedCells="1"/>
  <hyperlinks>
    <hyperlink ref="A15" r:id="rId1" display="http://ru.iherb.com/product-reviews/South-of-France-Mango-French-Milled-Bar-Soap-8-oz-227-g/14397/?p=1 "/>
    <hyperlink ref="A16" r:id="rId2" display="http://ru.iherb.com/product-reviews/South-of-France-French-Milled-Bar-Soap-Magnolia-Pear-8-oz-227-g/44961/?p=1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zoomScale="80" zoomScaleNormal="80" zoomScalePageLayoutView="0" workbookViewId="0" topLeftCell="A1">
      <selection activeCell="M28" sqref="M28"/>
    </sheetView>
  </sheetViews>
  <sheetFormatPr defaultColWidth="9.140625" defaultRowHeight="15"/>
  <cols>
    <col min="1" max="1" width="22.7109375" style="0" customWidth="1"/>
    <col min="2" max="2" width="20.140625" style="0" customWidth="1"/>
    <col min="6" max="6" width="12.28125" style="0" customWidth="1"/>
  </cols>
  <sheetData>
    <row r="1" spans="1:5" s="28" customFormat="1" ht="21">
      <c r="A1" s="29" t="s">
        <v>251</v>
      </c>
      <c r="B1" s="30">
        <v>41753</v>
      </c>
      <c r="C1" s="31" t="s">
        <v>252</v>
      </c>
      <c r="D1" s="48">
        <v>36.55</v>
      </c>
      <c r="E1" s="28" t="s">
        <v>253</v>
      </c>
    </row>
    <row r="2" s="28" customFormat="1" ht="15">
      <c r="A2" s="46" t="s">
        <v>448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202</v>
      </c>
      <c r="B4" s="40">
        <v>14.39</v>
      </c>
      <c r="C4" s="40">
        <v>0.57</v>
      </c>
      <c r="D4" s="9">
        <f>C4/$C$8*$D$8</f>
        <v>2.488732394366197</v>
      </c>
      <c r="E4" s="9">
        <f>(B4+D4)*$D$1</f>
        <v>616.9176690140844</v>
      </c>
      <c r="F4" s="39">
        <v>621</v>
      </c>
      <c r="G4" s="70">
        <f>-E4+F4</f>
        <v>4.0823309859156325</v>
      </c>
    </row>
    <row r="5" spans="1:7" s="35" customFormat="1" ht="15">
      <c r="A5" s="9" t="s">
        <v>161</v>
      </c>
      <c r="B5" s="64">
        <v>18.99</v>
      </c>
      <c r="C5" s="40">
        <v>0.23</v>
      </c>
      <c r="D5" s="9">
        <f>C5/$C$8*$D$8</f>
        <v>1.004225352112676</v>
      </c>
      <c r="E5" s="9">
        <f>(B5+D5)*$D$1</f>
        <v>730.7889366197182</v>
      </c>
      <c r="F5" s="39">
        <v>728</v>
      </c>
      <c r="G5" s="70">
        <f>-E5+F5</f>
        <v>-2.7889366197182426</v>
      </c>
    </row>
    <row r="6" spans="1:7" s="35" customFormat="1" ht="15">
      <c r="A6" s="9" t="s">
        <v>65</v>
      </c>
      <c r="B6" s="11">
        <v>30.25</v>
      </c>
      <c r="C6" s="40">
        <v>3.49</v>
      </c>
      <c r="D6" s="9">
        <f>C6/$C$8*$D$8</f>
        <v>15.238028169014084</v>
      </c>
      <c r="E6" s="9">
        <f>(B6+D6)*$D$1</f>
        <v>1662.5874295774647</v>
      </c>
      <c r="F6" s="39"/>
      <c r="G6" s="70">
        <f>-E6+F6</f>
        <v>-1662.5874295774647</v>
      </c>
    </row>
    <row r="7" spans="1:7" s="35" customFormat="1" ht="15">
      <c r="A7" s="9" t="s">
        <v>260</v>
      </c>
      <c r="B7" s="64">
        <v>61.98</v>
      </c>
      <c r="C7" s="64">
        <v>0.68</v>
      </c>
      <c r="D7" s="9">
        <f>C7/$C$8*$D$8</f>
        <v>2.9690140845070423</v>
      </c>
      <c r="E7" s="51"/>
      <c r="F7" s="52"/>
      <c r="G7" s="71"/>
    </row>
    <row r="8" spans="1:7" s="43" customFormat="1" ht="15">
      <c r="A8" s="41"/>
      <c r="B8" s="41"/>
      <c r="C8" s="41">
        <f>SUM(C4:C7)</f>
        <v>4.97</v>
      </c>
      <c r="D8" s="41">
        <v>21.7</v>
      </c>
      <c r="E8" s="41"/>
      <c r="F8" s="41"/>
      <c r="G8" s="41"/>
    </row>
    <row r="11" ht="31.5">
      <c r="A11" s="49"/>
    </row>
    <row r="12" ht="31.5">
      <c r="A12" s="49"/>
    </row>
    <row r="13" ht="31.5">
      <c r="A13" s="49"/>
    </row>
    <row r="14" ht="31.5">
      <c r="A14" s="49"/>
    </row>
    <row r="15" ht="31.5">
      <c r="A15" s="49"/>
    </row>
    <row r="16" ht="31.5">
      <c r="A16" s="49"/>
    </row>
    <row r="17" ht="31.5">
      <c r="A17" s="49"/>
    </row>
    <row r="18" ht="31.5">
      <c r="A18" s="49"/>
    </row>
    <row r="19" ht="31.5">
      <c r="A19" s="49"/>
    </row>
    <row r="20" ht="31.5">
      <c r="A20" s="49"/>
    </row>
    <row r="21" ht="31.5">
      <c r="A21" s="49"/>
    </row>
    <row r="22" ht="31.5">
      <c r="A22" s="49"/>
    </row>
    <row r="23" ht="31.5">
      <c r="A23" s="49"/>
    </row>
    <row r="24" ht="31.5">
      <c r="A24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="80" zoomScaleNormal="80" zoomScalePageLayoutView="0" workbookViewId="0" topLeftCell="A1">
      <selection activeCell="F5" sqref="F5"/>
    </sheetView>
  </sheetViews>
  <sheetFormatPr defaultColWidth="9.140625" defaultRowHeight="15"/>
  <cols>
    <col min="1" max="1" width="22.7109375" style="0" customWidth="1"/>
    <col min="2" max="2" width="20.140625" style="0" customWidth="1"/>
    <col min="6" max="6" width="12.28125" style="0" customWidth="1"/>
    <col min="8" max="8" width="23.421875" style="0" customWidth="1"/>
  </cols>
  <sheetData>
    <row r="1" spans="1:5" s="28" customFormat="1" ht="21">
      <c r="A1" s="29" t="s">
        <v>251</v>
      </c>
      <c r="B1" s="30">
        <v>41759</v>
      </c>
      <c r="C1" s="31" t="s">
        <v>252</v>
      </c>
      <c r="D1" s="48">
        <v>36.34</v>
      </c>
      <c r="E1" s="28" t="s">
        <v>253</v>
      </c>
    </row>
    <row r="2" s="28" customFormat="1" ht="15">
      <c r="A2" s="46" t="s">
        <v>452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123</v>
      </c>
      <c r="B4" s="40">
        <v>13.94</v>
      </c>
      <c r="C4" s="40">
        <v>0.8</v>
      </c>
      <c r="D4" s="9">
        <f aca="true" t="shared" si="0" ref="D4:D11">C4/$C$12*$D$12</f>
        <v>3.5070707070707074</v>
      </c>
      <c r="E4" s="9">
        <f aca="true" t="shared" si="1" ref="E4:E10">(B4+D4)*$D$1</f>
        <v>634.0265494949496</v>
      </c>
      <c r="F4" s="39">
        <v>545</v>
      </c>
      <c r="G4" s="70">
        <f aca="true" t="shared" si="2" ref="G4:G10">-E4+F4</f>
        <v>-89.02654949494956</v>
      </c>
    </row>
    <row r="5" spans="1:8" s="35" customFormat="1" ht="30">
      <c r="A5" s="9" t="s">
        <v>266</v>
      </c>
      <c r="B5" s="64">
        <v>14.59</v>
      </c>
      <c r="C5" s="40">
        <v>0.19</v>
      </c>
      <c r="D5" s="9">
        <f t="shared" si="0"/>
        <v>0.8329292929292929</v>
      </c>
      <c r="E5" s="9">
        <f t="shared" si="1"/>
        <v>560.4692505050506</v>
      </c>
      <c r="F5" s="39">
        <v>500</v>
      </c>
      <c r="G5" s="70">
        <f t="shared" si="2"/>
        <v>-60.46925050505058</v>
      </c>
      <c r="H5" s="35" t="s">
        <v>453</v>
      </c>
    </row>
    <row r="6" spans="1:7" s="35" customFormat="1" ht="15">
      <c r="A6" s="9" t="s">
        <v>36</v>
      </c>
      <c r="B6" s="40">
        <v>3.6240000000000006</v>
      </c>
      <c r="C6" s="40">
        <v>0.46</v>
      </c>
      <c r="D6" s="9">
        <f t="shared" si="0"/>
        <v>2.0165656565656565</v>
      </c>
      <c r="E6" s="9">
        <f t="shared" si="1"/>
        <v>204.97815595959602</v>
      </c>
      <c r="F6" s="39">
        <v>203</v>
      </c>
      <c r="G6" s="70">
        <f t="shared" si="2"/>
        <v>-1.9781559595960232</v>
      </c>
    </row>
    <row r="7" spans="1:7" s="35" customFormat="1" ht="15">
      <c r="A7" s="9" t="s">
        <v>201</v>
      </c>
      <c r="B7" s="64">
        <v>10.52</v>
      </c>
      <c r="C7" s="40">
        <v>0.78</v>
      </c>
      <c r="D7" s="9">
        <f t="shared" si="0"/>
        <v>3.419393939393939</v>
      </c>
      <c r="E7" s="9">
        <f t="shared" si="1"/>
        <v>506.55757575757576</v>
      </c>
      <c r="F7" s="39">
        <v>509</v>
      </c>
      <c r="G7" s="70">
        <f t="shared" si="2"/>
        <v>2.442424242424238</v>
      </c>
    </row>
    <row r="8" spans="1:7" s="35" customFormat="1" ht="15">
      <c r="A8" s="9" t="s">
        <v>454</v>
      </c>
      <c r="B8" s="40">
        <v>6.47</v>
      </c>
      <c r="C8" s="40">
        <v>0.09</v>
      </c>
      <c r="D8" s="9">
        <f t="shared" si="0"/>
        <v>0.39454545454545453</v>
      </c>
      <c r="E8" s="9">
        <f t="shared" si="1"/>
        <v>249.45758181818184</v>
      </c>
      <c r="F8" s="39">
        <v>251</v>
      </c>
      <c r="G8" s="70">
        <f t="shared" si="2"/>
        <v>1.5424181818181637</v>
      </c>
    </row>
    <row r="9" spans="1:7" s="35" customFormat="1" ht="15">
      <c r="A9" s="9" t="s">
        <v>231</v>
      </c>
      <c r="B9" s="64">
        <v>31.96</v>
      </c>
      <c r="C9" s="40">
        <v>0.99</v>
      </c>
      <c r="D9" s="9">
        <f t="shared" si="0"/>
        <v>4.34</v>
      </c>
      <c r="E9" s="9">
        <f t="shared" si="1"/>
        <v>1319.142</v>
      </c>
      <c r="F9" s="39">
        <v>1400</v>
      </c>
      <c r="G9" s="70">
        <f t="shared" si="2"/>
        <v>80.85799999999995</v>
      </c>
    </row>
    <row r="10" spans="1:7" s="35" customFormat="1" ht="15">
      <c r="A10" s="9" t="s">
        <v>268</v>
      </c>
      <c r="B10" s="11">
        <v>29.34</v>
      </c>
      <c r="C10" s="40">
        <v>0.53</v>
      </c>
      <c r="D10" s="9">
        <f t="shared" si="0"/>
        <v>2.3234343434343434</v>
      </c>
      <c r="E10" s="9">
        <f t="shared" si="1"/>
        <v>1150.6492040404041</v>
      </c>
      <c r="F10" s="39">
        <v>1157</v>
      </c>
      <c r="G10" s="70">
        <f t="shared" si="2"/>
        <v>6.350795959595871</v>
      </c>
    </row>
    <row r="11" spans="1:7" s="35" customFormat="1" ht="15">
      <c r="A11" s="9" t="s">
        <v>260</v>
      </c>
      <c r="B11" s="64">
        <v>22.99</v>
      </c>
      <c r="C11" s="64">
        <v>1.11</v>
      </c>
      <c r="D11" s="9">
        <f t="shared" si="0"/>
        <v>4.866060606060606</v>
      </c>
      <c r="E11" s="51"/>
      <c r="F11" s="52"/>
      <c r="G11" s="71"/>
    </row>
    <row r="12" spans="1:7" s="43" customFormat="1" ht="15">
      <c r="A12" s="41"/>
      <c r="B12" s="41"/>
      <c r="C12" s="41">
        <f>SUM(C4:C11)</f>
        <v>4.95</v>
      </c>
      <c r="D12" s="41">
        <v>21.7</v>
      </c>
      <c r="E12" s="41"/>
      <c r="F12" s="41"/>
      <c r="G12" s="41"/>
    </row>
    <row r="15" ht="31.5">
      <c r="A15" s="49"/>
    </row>
    <row r="16" ht="31.5">
      <c r="A16" s="49"/>
    </row>
    <row r="17" ht="31.5">
      <c r="A17" s="49"/>
    </row>
    <row r="18" ht="31.5">
      <c r="A18" s="49"/>
    </row>
    <row r="19" ht="31.5">
      <c r="A19" s="49"/>
    </row>
    <row r="20" ht="31.5">
      <c r="A20" s="49"/>
    </row>
    <row r="21" ht="31.5">
      <c r="A21" s="49"/>
    </row>
    <row r="22" ht="31.5">
      <c r="A22" s="49"/>
    </row>
    <row r="23" ht="31.5">
      <c r="A23" s="49"/>
    </row>
    <row r="24" ht="31.5">
      <c r="A24" s="49"/>
    </row>
    <row r="25" ht="31.5">
      <c r="A25" s="49"/>
    </row>
    <row r="26" ht="31.5">
      <c r="A26" s="49"/>
    </row>
    <row r="27" ht="31.5">
      <c r="A27" s="49"/>
    </row>
    <row r="28" ht="31.5">
      <c r="A28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zoomScale="80" zoomScaleNormal="80" zoomScalePageLayoutView="0" workbookViewId="0" topLeftCell="A1">
      <selection activeCell="D1" sqref="D1"/>
    </sheetView>
  </sheetViews>
  <sheetFormatPr defaultColWidth="9.140625" defaultRowHeight="15"/>
  <cols>
    <col min="1" max="1" width="22.7109375" style="0" customWidth="1"/>
    <col min="2" max="2" width="20.140625" style="0" customWidth="1"/>
    <col min="6" max="6" width="12.28125" style="0" customWidth="1"/>
  </cols>
  <sheetData>
    <row r="1" spans="1:5" s="28" customFormat="1" ht="21">
      <c r="A1" s="29" t="s">
        <v>251</v>
      </c>
      <c r="B1" s="30">
        <v>41759</v>
      </c>
      <c r="C1" s="31" t="s">
        <v>252</v>
      </c>
      <c r="D1" s="48">
        <v>36.34</v>
      </c>
      <c r="E1" s="28" t="s">
        <v>253</v>
      </c>
    </row>
    <row r="2" s="28" customFormat="1" ht="15">
      <c r="A2" s="46" t="s">
        <v>452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157</v>
      </c>
      <c r="B4" s="64">
        <v>9.99</v>
      </c>
      <c r="C4" s="64">
        <v>0.12</v>
      </c>
      <c r="D4" s="9">
        <f>C4/$C$8*$D$8</f>
        <v>0.5218436873747495</v>
      </c>
      <c r="E4" s="9">
        <f>(B4+D4)*$D$1</f>
        <v>382.00039959919843</v>
      </c>
      <c r="F4" s="39">
        <v>386</v>
      </c>
      <c r="G4" s="70">
        <f>-E4+F4</f>
        <v>3.999600400801569</v>
      </c>
    </row>
    <row r="5" spans="1:7" s="35" customFormat="1" ht="15">
      <c r="A5" s="9" t="s">
        <v>19</v>
      </c>
      <c r="B5" s="64">
        <v>30.37</v>
      </c>
      <c r="C5" s="40">
        <v>0.83</v>
      </c>
      <c r="D5" s="9">
        <f>C5/$C$8*$D$8</f>
        <v>3.6094188376753498</v>
      </c>
      <c r="E5" s="9">
        <f>(B5+D5)*$D$1</f>
        <v>1234.8120805611225</v>
      </c>
      <c r="F5" s="39">
        <v>1172</v>
      </c>
      <c r="G5" s="70">
        <f>-E5+F5</f>
        <v>-62.81208056112246</v>
      </c>
    </row>
    <row r="6" spans="1:7" s="35" customFormat="1" ht="15">
      <c r="A6" s="5">
        <v>1445</v>
      </c>
      <c r="B6" s="64">
        <v>18.72</v>
      </c>
      <c r="C6" s="64">
        <v>0.24</v>
      </c>
      <c r="D6" s="9">
        <f>C6/$C$8*$D$8</f>
        <v>1.043687374749499</v>
      </c>
      <c r="E6" s="9">
        <f>(B6+D6)*$D$1</f>
        <v>718.2123991983968</v>
      </c>
      <c r="F6" s="39">
        <v>722</v>
      </c>
      <c r="G6" s="70">
        <f>-E6+F6</f>
        <v>3.787600801603162</v>
      </c>
    </row>
    <row r="7" spans="1:7" s="35" customFormat="1" ht="15">
      <c r="A7" s="9" t="s">
        <v>260</v>
      </c>
      <c r="B7" s="64">
        <v>63.81</v>
      </c>
      <c r="C7" s="64">
        <v>3.8</v>
      </c>
      <c r="D7" s="9">
        <f>C7/$C$8*$D$8</f>
        <v>16.5250501002004</v>
      </c>
      <c r="E7" s="51"/>
      <c r="F7" s="52"/>
      <c r="G7" s="71"/>
    </row>
    <row r="8" spans="1:7" s="43" customFormat="1" ht="15">
      <c r="A8" s="41"/>
      <c r="B8" s="41"/>
      <c r="C8" s="41">
        <f>SUM(C4:C7)</f>
        <v>4.99</v>
      </c>
      <c r="D8" s="41">
        <v>21.7</v>
      </c>
      <c r="E8" s="41"/>
      <c r="F8" s="41"/>
      <c r="G8" s="41"/>
    </row>
    <row r="11" ht="31.5">
      <c r="A11" s="49"/>
    </row>
    <row r="12" ht="31.5">
      <c r="A12" s="49"/>
    </row>
    <row r="13" ht="31.5">
      <c r="A13" s="49"/>
    </row>
    <row r="14" ht="31.5">
      <c r="A14" s="49"/>
    </row>
    <row r="15" ht="31.5">
      <c r="A15" s="49"/>
    </row>
    <row r="16" ht="31.5">
      <c r="A16" s="49"/>
    </row>
    <row r="17" ht="31.5">
      <c r="A17" s="49"/>
    </row>
    <row r="18" ht="31.5">
      <c r="A18" s="49"/>
    </row>
    <row r="19" ht="31.5">
      <c r="A19" s="49"/>
    </row>
    <row r="20" ht="31.5">
      <c r="A20" s="49"/>
    </row>
    <row r="21" ht="31.5">
      <c r="A21" s="49"/>
    </row>
    <row r="22" ht="31.5">
      <c r="A22" s="49"/>
    </row>
    <row r="23" ht="31.5">
      <c r="A23" s="49"/>
    </row>
    <row r="24" ht="31.5">
      <c r="A24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2.7109375" style="0" customWidth="1"/>
    <col min="2" max="2" width="20.140625" style="0" customWidth="1"/>
    <col min="6" max="6" width="12.28125" style="0" customWidth="1"/>
  </cols>
  <sheetData>
    <row r="1" spans="1:5" s="28" customFormat="1" ht="21">
      <c r="A1" s="29" t="s">
        <v>251</v>
      </c>
      <c r="B1" s="30">
        <v>41769</v>
      </c>
      <c r="C1" s="31" t="s">
        <v>252</v>
      </c>
      <c r="D1" s="48">
        <v>35.65</v>
      </c>
      <c r="E1" s="28" t="s">
        <v>253</v>
      </c>
    </row>
    <row r="2" s="28" customFormat="1" ht="15">
      <c r="A2" s="46" t="s">
        <v>455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372</v>
      </c>
      <c r="B4" s="64">
        <v>24.99</v>
      </c>
      <c r="C4" s="64">
        <v>0.48</v>
      </c>
      <c r="D4" s="9">
        <f aca="true" t="shared" si="0" ref="D4:D12">C4/$C$13*$D$13</f>
        <v>2.112778904665314</v>
      </c>
      <c r="E4" s="9">
        <f aca="true" t="shared" si="1" ref="E4:E11">(B4+D4)*$D$1</f>
        <v>966.2140679513184</v>
      </c>
      <c r="F4" s="39">
        <v>969</v>
      </c>
      <c r="G4" s="70">
        <f aca="true" t="shared" si="2" ref="G4:G11">-E4+F4</f>
        <v>2.785932048681616</v>
      </c>
    </row>
    <row r="5" spans="1:7" s="35" customFormat="1" ht="15">
      <c r="A5" s="9" t="s">
        <v>456</v>
      </c>
      <c r="B5" s="64">
        <v>39.2</v>
      </c>
      <c r="C5" s="40">
        <v>1.4</v>
      </c>
      <c r="D5" s="9">
        <f t="shared" si="0"/>
        <v>6.162271805273832</v>
      </c>
      <c r="E5" s="9">
        <f t="shared" si="1"/>
        <v>1617.1649898580122</v>
      </c>
      <c r="F5" s="39">
        <v>1621</v>
      </c>
      <c r="G5" s="70">
        <f t="shared" si="2"/>
        <v>3.835010141987823</v>
      </c>
    </row>
    <row r="6" spans="1:7" s="35" customFormat="1" ht="15">
      <c r="A6" s="9" t="s">
        <v>170</v>
      </c>
      <c r="B6" s="64">
        <v>7.63</v>
      </c>
      <c r="C6" s="64">
        <v>0.27</v>
      </c>
      <c r="D6" s="9">
        <f t="shared" si="0"/>
        <v>1.1884381338742394</v>
      </c>
      <c r="E6" s="9">
        <f t="shared" si="1"/>
        <v>314.3773194726166</v>
      </c>
      <c r="F6" s="39">
        <v>315</v>
      </c>
      <c r="G6" s="70">
        <f t="shared" si="2"/>
        <v>0.6226805273834088</v>
      </c>
    </row>
    <row r="7" spans="1:7" s="35" customFormat="1" ht="15">
      <c r="A7" s="9" t="s">
        <v>25</v>
      </c>
      <c r="B7" s="64">
        <v>14.66</v>
      </c>
      <c r="C7" s="40">
        <v>0.68</v>
      </c>
      <c r="D7" s="9">
        <f t="shared" si="0"/>
        <v>2.993103448275862</v>
      </c>
      <c r="E7" s="9">
        <f t="shared" si="1"/>
        <v>629.3331379310345</v>
      </c>
      <c r="F7" s="39">
        <v>628</v>
      </c>
      <c r="G7" s="70">
        <f t="shared" si="2"/>
        <v>-1.3331379310344573</v>
      </c>
    </row>
    <row r="8" spans="1:7" s="35" customFormat="1" ht="15">
      <c r="A8" s="5" t="s">
        <v>145</v>
      </c>
      <c r="B8" s="11">
        <v>9</v>
      </c>
      <c r="C8" s="64">
        <v>0.06</v>
      </c>
      <c r="D8" s="9">
        <f t="shared" si="0"/>
        <v>0.2640973630831642</v>
      </c>
      <c r="E8" s="9">
        <f t="shared" si="1"/>
        <v>330.26507099391483</v>
      </c>
      <c r="F8" s="39">
        <v>331</v>
      </c>
      <c r="G8" s="70">
        <f t="shared" si="2"/>
        <v>0.7349290060851672</v>
      </c>
    </row>
    <row r="9" spans="1:8" s="35" customFormat="1" ht="30">
      <c r="A9" s="9" t="s">
        <v>32</v>
      </c>
      <c r="B9" s="11">
        <v>11.54</v>
      </c>
      <c r="C9" s="64">
        <v>0.14</v>
      </c>
      <c r="D9" s="9">
        <f t="shared" si="0"/>
        <v>0.6162271805273833</v>
      </c>
      <c r="E9" s="9">
        <f t="shared" si="1"/>
        <v>433.36949898580116</v>
      </c>
      <c r="F9" s="39">
        <v>430</v>
      </c>
      <c r="G9" s="70">
        <f t="shared" si="2"/>
        <v>-3.369498985801158</v>
      </c>
      <c r="H9" s="35" t="s">
        <v>457</v>
      </c>
    </row>
    <row r="10" spans="1:7" s="35" customFormat="1" ht="15">
      <c r="A10" s="9" t="s">
        <v>359</v>
      </c>
      <c r="B10" s="11">
        <v>2.98</v>
      </c>
      <c r="C10" s="40">
        <v>0.04</v>
      </c>
      <c r="D10" s="9">
        <f t="shared" si="0"/>
        <v>0.17606490872210953</v>
      </c>
      <c r="E10" s="9">
        <f t="shared" si="1"/>
        <v>112.51371399594319</v>
      </c>
      <c r="F10" s="39">
        <v>115</v>
      </c>
      <c r="G10" s="70">
        <f t="shared" si="2"/>
        <v>2.486286004056808</v>
      </c>
    </row>
    <row r="11" spans="1:7" s="35" customFormat="1" ht="15">
      <c r="A11" s="5" t="s">
        <v>126</v>
      </c>
      <c r="B11" s="64">
        <v>19.88</v>
      </c>
      <c r="C11" s="64">
        <v>0.35</v>
      </c>
      <c r="D11" s="9">
        <f t="shared" si="0"/>
        <v>1.540567951318458</v>
      </c>
      <c r="E11" s="9">
        <f t="shared" si="1"/>
        <v>763.6432474645029</v>
      </c>
      <c r="F11" s="39">
        <v>765</v>
      </c>
      <c r="G11" s="70">
        <f t="shared" si="2"/>
        <v>1.356752535497094</v>
      </c>
    </row>
    <row r="12" spans="1:7" s="35" customFormat="1" ht="15">
      <c r="A12" s="9" t="s">
        <v>260</v>
      </c>
      <c r="B12" s="64">
        <v>28.32</v>
      </c>
      <c r="C12" s="64">
        <v>1.51</v>
      </c>
      <c r="D12" s="9">
        <f t="shared" si="0"/>
        <v>6.646450304259634</v>
      </c>
      <c r="E12" s="51"/>
      <c r="F12" s="52"/>
      <c r="G12" s="71"/>
    </row>
    <row r="13" spans="1:7" s="43" customFormat="1" ht="15">
      <c r="A13" s="41"/>
      <c r="B13" s="41"/>
      <c r="C13" s="41">
        <f>SUM(C4:C12)</f>
        <v>4.930000000000001</v>
      </c>
      <c r="D13" s="41">
        <v>21.7</v>
      </c>
      <c r="E13" s="41"/>
      <c r="F13" s="41"/>
      <c r="G13" s="41"/>
    </row>
    <row r="16" ht="31.5">
      <c r="A16" s="49" t="s">
        <v>436</v>
      </c>
    </row>
    <row r="17" ht="15">
      <c r="A17" s="87" t="s">
        <v>372</v>
      </c>
    </row>
    <row r="18" ht="15">
      <c r="A18" s="86" t="s">
        <v>458</v>
      </c>
    </row>
    <row r="19" ht="31.5">
      <c r="A19" s="49"/>
    </row>
    <row r="20" ht="31.5">
      <c r="A20" s="49"/>
    </row>
    <row r="21" ht="31.5">
      <c r="A21" s="49"/>
    </row>
    <row r="22" ht="31.5">
      <c r="A22" s="49"/>
    </row>
    <row r="23" ht="31.5">
      <c r="A23" s="49"/>
    </row>
    <row r="24" ht="31.5">
      <c r="A24" s="49"/>
    </row>
    <row r="25" ht="31.5">
      <c r="A25" s="49"/>
    </row>
    <row r="26" ht="31.5">
      <c r="A26" s="49"/>
    </row>
    <row r="27" ht="31.5">
      <c r="A27" s="49"/>
    </row>
  </sheetData>
  <sheetProtection selectLockedCells="1" selectUnlockedCells="1"/>
  <hyperlinks>
    <hyperlink ref="A18" r:id="rId1" display="http://ru.iherb.com/Blum-Naturals-Oil-Absorbing-Facial-Tissues-50-Sheets/30588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indexed="10"/>
  </sheetPr>
  <dimension ref="A1:G22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22.7109375" style="0" customWidth="1"/>
    <col min="2" max="2" width="20.140625" style="0" customWidth="1"/>
    <col min="6" max="6" width="12.28125" style="0" customWidth="1"/>
  </cols>
  <sheetData>
    <row r="1" spans="1:5" s="28" customFormat="1" ht="21">
      <c r="A1" s="29" t="s">
        <v>251</v>
      </c>
      <c r="B1" s="30">
        <v>41769</v>
      </c>
      <c r="C1" s="31" t="s">
        <v>252</v>
      </c>
      <c r="D1" s="48">
        <v>35.65</v>
      </c>
      <c r="E1" s="28" t="s">
        <v>253</v>
      </c>
    </row>
    <row r="2" s="28" customFormat="1" ht="15">
      <c r="A2" s="46" t="s">
        <v>455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371</v>
      </c>
      <c r="B4" s="64">
        <v>115.37</v>
      </c>
      <c r="C4" s="64">
        <v>1.89</v>
      </c>
      <c r="D4" s="9">
        <f>C4/$C$6*$D$6</f>
        <v>8.335975609756098</v>
      </c>
      <c r="E4" s="9">
        <f>(B4+D4)*$D$1</f>
        <v>4410.118030487805</v>
      </c>
      <c r="F4" s="39"/>
      <c r="G4" s="70">
        <f>-E4+F4</f>
        <v>-4410.118030487805</v>
      </c>
    </row>
    <row r="5" spans="1:7" s="35" customFormat="1" ht="15">
      <c r="A5" s="9" t="s">
        <v>260</v>
      </c>
      <c r="B5" s="64">
        <v>52.15</v>
      </c>
      <c r="C5" s="64">
        <v>3.03</v>
      </c>
      <c r="D5" s="9">
        <f>C5/$C$6*$D$6</f>
        <v>13.364024390243902</v>
      </c>
      <c r="E5" s="51"/>
      <c r="F5" s="52"/>
      <c r="G5" s="71"/>
    </row>
    <row r="6" spans="1:7" s="43" customFormat="1" ht="15">
      <c r="A6" s="41"/>
      <c r="B6" s="41"/>
      <c r="C6" s="41">
        <f>SUM(C4:C5)</f>
        <v>4.92</v>
      </c>
      <c r="D6" s="41">
        <v>21.7</v>
      </c>
      <c r="E6" s="41"/>
      <c r="F6" s="41"/>
      <c r="G6" s="41"/>
    </row>
    <row r="9" ht="31.5">
      <c r="A9" s="49"/>
    </row>
    <row r="10" ht="31.5">
      <c r="A10" s="49"/>
    </row>
    <row r="11" ht="31.5">
      <c r="A11" s="49"/>
    </row>
    <row r="12" ht="31.5">
      <c r="A12" s="49"/>
    </row>
    <row r="13" ht="31.5">
      <c r="A13" s="49"/>
    </row>
    <row r="14" ht="31.5">
      <c r="A14" s="49"/>
    </row>
    <row r="15" ht="31.5">
      <c r="A15" s="49"/>
    </row>
    <row r="16" ht="31.5">
      <c r="A16" s="49"/>
    </row>
    <row r="17" ht="31.5">
      <c r="A17" s="49"/>
    </row>
    <row r="18" ht="31.5">
      <c r="A18" s="49"/>
    </row>
    <row r="19" ht="31.5">
      <c r="A19" s="49"/>
    </row>
    <row r="20" ht="31.5">
      <c r="A20" s="49"/>
    </row>
    <row r="21" ht="31.5">
      <c r="A21" s="49"/>
    </row>
    <row r="22" ht="31.5">
      <c r="A2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indexed="10"/>
  </sheetPr>
  <dimension ref="A1:G22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22.7109375" style="0" customWidth="1"/>
    <col min="2" max="2" width="20.140625" style="0" customWidth="1"/>
    <col min="6" max="6" width="12.28125" style="0" customWidth="1"/>
  </cols>
  <sheetData>
    <row r="1" spans="1:5" s="28" customFormat="1" ht="21">
      <c r="A1" s="29" t="s">
        <v>251</v>
      </c>
      <c r="B1" s="30">
        <v>41769</v>
      </c>
      <c r="C1" s="31" t="s">
        <v>252</v>
      </c>
      <c r="D1" s="48">
        <v>35.65</v>
      </c>
      <c r="E1" s="28" t="s">
        <v>253</v>
      </c>
    </row>
    <row r="2" s="28" customFormat="1" ht="15">
      <c r="A2" s="46" t="s">
        <v>455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371</v>
      </c>
      <c r="B4" s="64">
        <v>94.38</v>
      </c>
      <c r="C4" s="64">
        <v>0.3</v>
      </c>
      <c r="D4" s="9">
        <f>C4/$C$6*$D$6</f>
        <v>1.315151515151515</v>
      </c>
      <c r="E4" s="9">
        <f>(B4+D4)*$D$1</f>
        <v>3411.5321515151513</v>
      </c>
      <c r="F4" s="39"/>
      <c r="G4" s="70">
        <f>-E4+F4</f>
        <v>-3411.5321515151513</v>
      </c>
    </row>
    <row r="5" spans="1:7" s="35" customFormat="1" ht="15">
      <c r="A5" s="9" t="s">
        <v>260</v>
      </c>
      <c r="B5" s="64">
        <v>69.25</v>
      </c>
      <c r="C5" s="64">
        <v>4.65</v>
      </c>
      <c r="D5" s="9">
        <f>C5/$C$6*$D$6</f>
        <v>20.384848484848487</v>
      </c>
      <c r="E5" s="51"/>
      <c r="F5" s="52"/>
      <c r="G5" s="71"/>
    </row>
    <row r="6" spans="1:7" s="43" customFormat="1" ht="15">
      <c r="A6" s="41"/>
      <c r="B6" s="41"/>
      <c r="C6" s="41">
        <f>SUM(C4:C5)</f>
        <v>4.95</v>
      </c>
      <c r="D6" s="41">
        <v>21.7</v>
      </c>
      <c r="E6" s="41"/>
      <c r="F6" s="41"/>
      <c r="G6" s="41"/>
    </row>
    <row r="9" ht="31.5">
      <c r="A9" s="49"/>
    </row>
    <row r="10" ht="31.5">
      <c r="A10" s="49"/>
    </row>
    <row r="11" ht="31.5">
      <c r="A11" s="49"/>
    </row>
    <row r="12" ht="31.5">
      <c r="A12" s="49"/>
    </row>
    <row r="13" ht="31.5">
      <c r="A13" s="49"/>
    </row>
    <row r="14" ht="31.5">
      <c r="A14" s="49"/>
    </row>
    <row r="15" ht="31.5">
      <c r="A15" s="49"/>
    </row>
    <row r="16" ht="31.5">
      <c r="A16" s="49"/>
    </row>
    <row r="17" ht="31.5">
      <c r="A17" s="49"/>
    </row>
    <row r="18" ht="31.5">
      <c r="A18" s="49"/>
    </row>
    <row r="19" ht="31.5">
      <c r="A19" s="49"/>
    </row>
    <row r="20" ht="31.5">
      <c r="A20" s="49"/>
    </row>
    <row r="21" ht="31.5">
      <c r="A21" s="49"/>
    </row>
    <row r="22" ht="31.5">
      <c r="A2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G6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41224</v>
      </c>
      <c r="C1" s="31" t="s">
        <v>252</v>
      </c>
      <c r="D1" s="32">
        <v>31.61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ht="15">
      <c r="A4" s="13" t="s">
        <v>216</v>
      </c>
      <c r="B4" s="9">
        <v>63.06</v>
      </c>
      <c r="C4" s="9">
        <v>2.72</v>
      </c>
      <c r="D4" s="9">
        <f>C4/$C$6*$D$6</f>
        <v>7</v>
      </c>
      <c r="E4" s="9">
        <f>(B4+D4)*$D$1</f>
        <v>2214.5966</v>
      </c>
      <c r="F4" s="39">
        <v>2229</v>
      </c>
      <c r="G4" s="39">
        <f>-E4+F4</f>
        <v>14.403400000000147</v>
      </c>
    </row>
    <row r="5" spans="1:7" s="35" customFormat="1" ht="15">
      <c r="A5" s="9" t="s">
        <v>220</v>
      </c>
      <c r="B5" s="9">
        <v>3.4</v>
      </c>
      <c r="C5" s="9">
        <v>0.07</v>
      </c>
      <c r="D5" s="9">
        <f>C5/$C$6*$D$6</f>
        <v>0.18014705882352944</v>
      </c>
      <c r="E5" s="9">
        <f>(B5+D5)*$D$1</f>
        <v>113.16844852941176</v>
      </c>
      <c r="F5" s="39">
        <v>114</v>
      </c>
      <c r="G5" s="39">
        <f>-E5+F5</f>
        <v>0.8315514705882379</v>
      </c>
    </row>
    <row r="6" spans="1:7" ht="15">
      <c r="A6" s="36"/>
      <c r="B6" s="36"/>
      <c r="C6" s="36">
        <f>SUM(C4:C4)</f>
        <v>2.72</v>
      </c>
      <c r="D6" s="36">
        <v>7</v>
      </c>
      <c r="E6" s="36"/>
      <c r="F6" s="11"/>
      <c r="G6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indexed="10"/>
  </sheetPr>
  <dimension ref="A1:Y22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22.7109375" style="0" customWidth="1"/>
    <col min="2" max="2" width="20.140625" style="0" customWidth="1"/>
    <col min="4" max="5" width="11.57421875" style="0" customWidth="1"/>
    <col min="6" max="6" width="12.28125" style="0" customWidth="1"/>
  </cols>
  <sheetData>
    <row r="1" spans="1:5" s="28" customFormat="1" ht="21">
      <c r="A1" s="29" t="s">
        <v>251</v>
      </c>
      <c r="B1" s="30">
        <v>41769</v>
      </c>
      <c r="C1" s="31" t="s">
        <v>252</v>
      </c>
      <c r="D1" s="48">
        <v>35.65</v>
      </c>
      <c r="E1" s="28" t="s">
        <v>253</v>
      </c>
    </row>
    <row r="2" s="28" customFormat="1" ht="15">
      <c r="A2" s="46" t="s">
        <v>455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371</v>
      </c>
      <c r="B4" s="64">
        <v>86.15</v>
      </c>
      <c r="C4" s="64">
        <v>0.48</v>
      </c>
      <c r="D4" s="9">
        <f>C4/$C$6*$D$6</f>
        <v>2.0915662650602407</v>
      </c>
      <c r="E4" s="9">
        <f>(B4+D4)*$D$1</f>
        <v>3145.8118373493976</v>
      </c>
      <c r="F4" s="39">
        <v>11000</v>
      </c>
      <c r="G4" s="70">
        <f>-E4+F4</f>
        <v>7854.188162650602</v>
      </c>
    </row>
    <row r="5" spans="1:7" s="35" customFormat="1" ht="15">
      <c r="A5" s="9" t="s">
        <v>260</v>
      </c>
      <c r="B5" s="64">
        <v>80.64</v>
      </c>
      <c r="C5" s="64">
        <v>4.5</v>
      </c>
      <c r="D5" s="9">
        <f>C5/$C$6*$D$6</f>
        <v>19.608433734939755</v>
      </c>
      <c r="E5" s="51"/>
      <c r="F5" s="52"/>
      <c r="G5" s="71"/>
    </row>
    <row r="6" spans="1:7" s="43" customFormat="1" ht="15">
      <c r="A6" s="41"/>
      <c r="B6" s="41"/>
      <c r="C6" s="41">
        <f>SUM(C4:C5)</f>
        <v>4.98</v>
      </c>
      <c r="D6" s="41">
        <v>21.7</v>
      </c>
      <c r="E6" s="41"/>
      <c r="F6" s="41"/>
      <c r="G6" s="41"/>
    </row>
    <row r="7" spans="1:25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31.5">
      <c r="A9" s="4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31.5">
      <c r="A10" s="4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31.5">
      <c r="A11" s="49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31.5">
      <c r="A12" s="4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31.5">
      <c r="A13" s="49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31.5">
      <c r="A14" s="4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31.5">
      <c r="A15" s="49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31.5">
      <c r="A16" s="49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31.5">
      <c r="A17" s="49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31.5">
      <c r="A18" s="49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31.5">
      <c r="A19" s="49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31.5">
      <c r="A20" s="49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31.5">
      <c r="A21" s="49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31.5">
      <c r="A22" s="4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4.28125" style="0" customWidth="1"/>
    <col min="2" max="2" width="20.28125" style="0" customWidth="1"/>
    <col min="4" max="4" width="16.00390625" style="0" customWidth="1"/>
    <col min="6" max="6" width="11.8515625" style="0" customWidth="1"/>
  </cols>
  <sheetData>
    <row r="1" spans="1:5" s="28" customFormat="1" ht="21">
      <c r="A1" s="29" t="s">
        <v>251</v>
      </c>
      <c r="B1" s="30">
        <v>41777</v>
      </c>
      <c r="C1" s="31" t="s">
        <v>252</v>
      </c>
      <c r="D1" s="48">
        <v>35.34</v>
      </c>
      <c r="E1" s="28" t="s">
        <v>253</v>
      </c>
    </row>
    <row r="2" s="28" customFormat="1" ht="15">
      <c r="A2" s="46" t="s">
        <v>459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156</v>
      </c>
      <c r="B4" s="64">
        <v>117.55</v>
      </c>
      <c r="C4" s="64">
        <v>4.72</v>
      </c>
      <c r="D4" s="9">
        <f>C4/$C$6*$D$6</f>
        <v>20.52585170340681</v>
      </c>
      <c r="E4" s="9">
        <f>(B4+D4)*$D$1</f>
        <v>4879.6005991983975</v>
      </c>
      <c r="F4" s="39">
        <v>6000</v>
      </c>
      <c r="G4" s="70">
        <f>-E4+F4</f>
        <v>1120.3994008016025</v>
      </c>
    </row>
    <row r="5" spans="1:7" s="35" customFormat="1" ht="15">
      <c r="A5" s="9" t="s">
        <v>260</v>
      </c>
      <c r="B5" s="64">
        <v>12.74</v>
      </c>
      <c r="C5" s="64">
        <v>0.27</v>
      </c>
      <c r="D5" s="9">
        <f>C5/$C$6*$D$6</f>
        <v>1.1741482965931862</v>
      </c>
      <c r="E5" s="51"/>
      <c r="F5" s="52"/>
      <c r="G5" s="71"/>
    </row>
    <row r="6" spans="1:7" s="43" customFormat="1" ht="15">
      <c r="A6" s="41"/>
      <c r="B6" s="41"/>
      <c r="C6" s="41">
        <f>SUM(C4:C5)</f>
        <v>4.99</v>
      </c>
      <c r="D6" s="41">
        <v>21.7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8.140625" style="0" customWidth="1"/>
    <col min="2" max="2" width="20.28125" style="0" customWidth="1"/>
    <col min="4" max="4" width="16.00390625" style="0" customWidth="1"/>
    <col min="6" max="6" width="11.8515625" style="0" customWidth="1"/>
  </cols>
  <sheetData>
    <row r="1" spans="1:5" s="28" customFormat="1" ht="21">
      <c r="A1" s="29" t="s">
        <v>251</v>
      </c>
      <c r="B1" s="30">
        <v>41777</v>
      </c>
      <c r="C1" s="31" t="s">
        <v>252</v>
      </c>
      <c r="D1" s="48">
        <v>35.34</v>
      </c>
      <c r="E1" s="28" t="s">
        <v>253</v>
      </c>
    </row>
    <row r="2" s="28" customFormat="1" ht="15">
      <c r="A2" s="46" t="s">
        <v>459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156</v>
      </c>
      <c r="B4" s="64">
        <v>20.24</v>
      </c>
      <c r="C4" s="64">
        <v>0.3</v>
      </c>
      <c r="D4" s="9">
        <f aca="true" t="shared" si="0" ref="D4:D9">C4/$C$10*$D$10</f>
        <v>1.3046092184368736</v>
      </c>
      <c r="E4" s="9">
        <f>(B4+D4)*$D$1</f>
        <v>761.3864897795592</v>
      </c>
      <c r="F4" s="39"/>
      <c r="G4" s="70">
        <f>-E4+F4</f>
        <v>-761.3864897795592</v>
      </c>
    </row>
    <row r="5" spans="1:7" s="35" customFormat="1" ht="15">
      <c r="A5" s="9" t="s">
        <v>19</v>
      </c>
      <c r="B5" s="64">
        <v>21.69</v>
      </c>
      <c r="C5" s="40">
        <v>0.96</v>
      </c>
      <c r="D5" s="9">
        <f t="shared" si="0"/>
        <v>4.174749498997996</v>
      </c>
      <c r="E5" s="9">
        <f>(B5+D5)*$D$1</f>
        <v>914.0602472945893</v>
      </c>
      <c r="F5" s="39">
        <v>911</v>
      </c>
      <c r="G5" s="70">
        <f>-E5+F5</f>
        <v>-3.060247294589317</v>
      </c>
    </row>
    <row r="6" spans="1:7" s="35" customFormat="1" ht="15">
      <c r="A6" s="9" t="s">
        <v>127</v>
      </c>
      <c r="B6" s="64">
        <v>4.69</v>
      </c>
      <c r="C6" s="40">
        <v>0.11</v>
      </c>
      <c r="D6" s="9">
        <f t="shared" si="0"/>
        <v>0.47835671342685365</v>
      </c>
      <c r="E6" s="9">
        <f>(B6+D6)*$D$1</f>
        <v>182.64972625250502</v>
      </c>
      <c r="F6" s="39"/>
      <c r="G6" s="70">
        <f>-E6+F6</f>
        <v>-182.64972625250502</v>
      </c>
    </row>
    <row r="7" spans="1:7" s="35" customFormat="1" ht="15">
      <c r="A7" s="5" t="s">
        <v>121</v>
      </c>
      <c r="B7" s="64">
        <v>15.39</v>
      </c>
      <c r="C7" s="64">
        <v>0.91</v>
      </c>
      <c r="D7" s="9">
        <f t="shared" si="0"/>
        <v>3.9573146292585166</v>
      </c>
      <c r="E7" s="9">
        <f>(B7+D7)*$D$1</f>
        <v>683.734098997996</v>
      </c>
      <c r="F7" s="39">
        <v>683</v>
      </c>
      <c r="G7" s="70">
        <f>-E7+F7</f>
        <v>-0.7340989979960568</v>
      </c>
    </row>
    <row r="8" spans="1:8" s="35" customFormat="1" ht="60">
      <c r="A8" s="9" t="s">
        <v>460</v>
      </c>
      <c r="B8" s="64">
        <v>24.25</v>
      </c>
      <c r="C8" s="64">
        <v>0.38</v>
      </c>
      <c r="D8" s="9">
        <f t="shared" si="0"/>
        <v>1.6525050100200398</v>
      </c>
      <c r="E8" s="9">
        <f>(B8+D8)*$D$1</f>
        <v>915.3945270541083</v>
      </c>
      <c r="F8" s="39">
        <f>70+1000-230</f>
        <v>840</v>
      </c>
      <c r="G8" s="70">
        <f>-E8+F8</f>
        <v>-75.39452705410827</v>
      </c>
      <c r="H8" s="35" t="s">
        <v>461</v>
      </c>
    </row>
    <row r="9" spans="1:7" s="35" customFormat="1" ht="15">
      <c r="A9" s="9" t="s">
        <v>260</v>
      </c>
      <c r="B9" s="64">
        <f>25.95-B6</f>
        <v>21.259999999999998</v>
      </c>
      <c r="C9" s="64">
        <v>2.33</v>
      </c>
      <c r="D9" s="9">
        <f t="shared" si="0"/>
        <v>10.132464929859719</v>
      </c>
      <c r="E9" s="51"/>
      <c r="F9" s="52"/>
      <c r="G9" s="71"/>
    </row>
    <row r="10" spans="1:7" s="43" customFormat="1" ht="15">
      <c r="A10" s="41"/>
      <c r="B10" s="41"/>
      <c r="C10" s="41">
        <f>SUM(C4:C9)</f>
        <v>4.99</v>
      </c>
      <c r="D10" s="41">
        <v>21.7</v>
      </c>
      <c r="E10" s="41"/>
      <c r="F10" s="41"/>
      <c r="G10" s="41"/>
    </row>
    <row r="12" ht="31.5">
      <c r="A12" s="49"/>
    </row>
    <row r="13" ht="31.5">
      <c r="A13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4.28125" style="0" customWidth="1"/>
    <col min="2" max="2" width="20.28125" style="0" customWidth="1"/>
    <col min="4" max="4" width="16.00390625" style="0" customWidth="1"/>
    <col min="6" max="6" width="11.8515625" style="0" customWidth="1"/>
  </cols>
  <sheetData>
    <row r="1" spans="1:5" s="28" customFormat="1" ht="21">
      <c r="A1" s="29" t="s">
        <v>251</v>
      </c>
      <c r="B1" s="30">
        <v>41777</v>
      </c>
      <c r="C1" s="31" t="s">
        <v>252</v>
      </c>
      <c r="D1" s="48">
        <v>35.34</v>
      </c>
      <c r="E1" s="28" t="s">
        <v>253</v>
      </c>
    </row>
    <row r="2" s="28" customFormat="1" ht="15">
      <c r="A2" s="46" t="s">
        <v>459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371</v>
      </c>
      <c r="B4" s="64">
        <v>20.46</v>
      </c>
      <c r="C4" s="64">
        <v>0.35</v>
      </c>
      <c r="D4" s="9">
        <f>C4/$C$8*$D$8</f>
        <v>1.5312499999999998</v>
      </c>
      <c r="E4" s="9">
        <f>(B4+D4)*$D$1</f>
        <v>777.170775</v>
      </c>
      <c r="F4" s="39">
        <v>748</v>
      </c>
      <c r="G4" s="70">
        <f>-E4+F4</f>
        <v>-29.17077500000005</v>
      </c>
    </row>
    <row r="5" spans="1:7" s="35" customFormat="1" ht="15">
      <c r="A5" s="9" t="s">
        <v>216</v>
      </c>
      <c r="B5" s="64">
        <v>35.24</v>
      </c>
      <c r="C5" s="40">
        <v>0.62</v>
      </c>
      <c r="D5" s="9">
        <f>C5/$C$8*$D$8</f>
        <v>2.7125</v>
      </c>
      <c r="E5" s="9">
        <f>(B5+D5)*$D$1</f>
        <v>1341.2413500000002</v>
      </c>
      <c r="F5" s="39">
        <v>1346</v>
      </c>
      <c r="G5" s="70">
        <f>-E5+F5</f>
        <v>4.758649999999761</v>
      </c>
    </row>
    <row r="6" spans="1:7" s="35" customFormat="1" ht="15">
      <c r="A6" s="5" t="s">
        <v>144</v>
      </c>
      <c r="B6" s="64">
        <v>63.97</v>
      </c>
      <c r="C6" s="64">
        <v>1.23</v>
      </c>
      <c r="D6" s="9">
        <f>C6/$C$8*$D$8</f>
        <v>5.38125</v>
      </c>
      <c r="E6" s="9">
        <f>(B6+D6)*$D$1</f>
        <v>2450.873175</v>
      </c>
      <c r="F6" s="39">
        <v>2460</v>
      </c>
      <c r="G6" s="70">
        <f>-E6+F6</f>
        <v>9.126824999999826</v>
      </c>
    </row>
    <row r="7" spans="1:7" s="35" customFormat="1" ht="15">
      <c r="A7" s="9" t="s">
        <v>260</v>
      </c>
      <c r="B7" s="64">
        <v>32.96</v>
      </c>
      <c r="C7" s="64">
        <v>2.76</v>
      </c>
      <c r="D7" s="9">
        <f>C7/$C$8*$D$8</f>
        <v>12.075</v>
      </c>
      <c r="E7" s="51"/>
      <c r="F7" s="52"/>
      <c r="G7" s="71"/>
    </row>
    <row r="8" spans="1:7" s="43" customFormat="1" ht="15">
      <c r="A8" s="41"/>
      <c r="B8" s="41"/>
      <c r="C8" s="41">
        <f>SUM(C4:C7)</f>
        <v>4.96</v>
      </c>
      <c r="D8" s="41">
        <v>21.7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14.28125" style="0" customWidth="1"/>
    <col min="2" max="2" width="20.28125" style="0" customWidth="1"/>
    <col min="4" max="4" width="16.00390625" style="0" customWidth="1"/>
    <col min="6" max="6" width="11.8515625" style="0" customWidth="1"/>
    <col min="8" max="8" width="24.7109375" style="0" customWidth="1"/>
  </cols>
  <sheetData>
    <row r="1" spans="1:5" s="28" customFormat="1" ht="21">
      <c r="A1" s="29" t="s">
        <v>251</v>
      </c>
      <c r="B1" s="30">
        <v>41783</v>
      </c>
      <c r="C1" s="31" t="s">
        <v>252</v>
      </c>
      <c r="D1" s="48">
        <v>34.9</v>
      </c>
      <c r="E1" s="28" t="s">
        <v>253</v>
      </c>
    </row>
    <row r="2" s="28" customFormat="1" ht="15">
      <c r="A2" s="46" t="s">
        <v>462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463</v>
      </c>
      <c r="B4" s="64">
        <v>5.57</v>
      </c>
      <c r="C4" s="64">
        <v>0.27</v>
      </c>
      <c r="D4" s="9">
        <f aca="true" t="shared" si="0" ref="D4:D11">C4/$C$12*$D$12</f>
        <v>1.1884381338742394</v>
      </c>
      <c r="E4" s="9">
        <f aca="true" t="shared" si="1" ref="E4:E10">(B4+D4)*$D$1</f>
        <v>235.86949087221095</v>
      </c>
      <c r="F4" s="39">
        <v>510</v>
      </c>
      <c r="G4" s="70">
        <f aca="true" t="shared" si="2" ref="G4:G10">-E4+F4</f>
        <v>274.1305091277891</v>
      </c>
    </row>
    <row r="5" spans="1:8" s="35" customFormat="1" ht="15">
      <c r="A5" s="9" t="s">
        <v>187</v>
      </c>
      <c r="B5" s="64">
        <v>21.99</v>
      </c>
      <c r="C5" s="40">
        <v>0.38</v>
      </c>
      <c r="D5" s="9">
        <f t="shared" si="0"/>
        <v>1.6726166328600405</v>
      </c>
      <c r="E5" s="9">
        <f t="shared" si="1"/>
        <v>825.8253204868154</v>
      </c>
      <c r="F5" s="39">
        <f>828-2</f>
        <v>826</v>
      </c>
      <c r="G5" s="70">
        <f t="shared" si="2"/>
        <v>0.17467951318462838</v>
      </c>
      <c r="H5" s="35" t="s">
        <v>464</v>
      </c>
    </row>
    <row r="6" spans="1:7" s="35" customFormat="1" ht="15">
      <c r="A6" s="5" t="s">
        <v>127</v>
      </c>
      <c r="B6" s="40">
        <v>4.95</v>
      </c>
      <c r="C6" s="40">
        <v>0.11</v>
      </c>
      <c r="D6" s="9">
        <f t="shared" si="0"/>
        <v>0.4841784989858012</v>
      </c>
      <c r="E6" s="9">
        <f t="shared" si="1"/>
        <v>189.65282961460446</v>
      </c>
      <c r="F6" s="39">
        <v>374</v>
      </c>
      <c r="G6" s="70">
        <f t="shared" si="2"/>
        <v>184.34717038539554</v>
      </c>
    </row>
    <row r="7" spans="1:7" s="35" customFormat="1" ht="15">
      <c r="A7" s="9" t="s">
        <v>19</v>
      </c>
      <c r="B7" s="64">
        <v>10.6</v>
      </c>
      <c r="C7" s="64">
        <v>0.67</v>
      </c>
      <c r="D7" s="9">
        <f t="shared" si="0"/>
        <v>2.949087221095335</v>
      </c>
      <c r="E7" s="9">
        <f t="shared" si="1"/>
        <v>472.8631440162271</v>
      </c>
      <c r="F7" s="39">
        <v>474</v>
      </c>
      <c r="G7" s="70">
        <f t="shared" si="2"/>
        <v>1.1368559837728753</v>
      </c>
    </row>
    <row r="8" spans="1:7" s="35" customFormat="1" ht="15">
      <c r="A8" s="9" t="s">
        <v>154</v>
      </c>
      <c r="B8" s="64">
        <v>15.14</v>
      </c>
      <c r="C8" s="40">
        <v>0.32</v>
      </c>
      <c r="D8" s="9">
        <f t="shared" si="0"/>
        <v>1.4085192697768762</v>
      </c>
      <c r="E8" s="9">
        <f t="shared" si="1"/>
        <v>577.5433225152129</v>
      </c>
      <c r="F8" s="39">
        <v>580</v>
      </c>
      <c r="G8" s="70">
        <f t="shared" si="2"/>
        <v>2.4566774847870647</v>
      </c>
    </row>
    <row r="9" spans="1:7" s="35" customFormat="1" ht="15">
      <c r="A9" s="5" t="s">
        <v>143</v>
      </c>
      <c r="B9" s="64">
        <v>47.95</v>
      </c>
      <c r="C9" s="64">
        <v>0.76</v>
      </c>
      <c r="D9" s="9">
        <f t="shared" si="0"/>
        <v>3.345233265720081</v>
      </c>
      <c r="E9" s="9">
        <f t="shared" si="1"/>
        <v>1790.2036409736309</v>
      </c>
      <c r="F9" s="39">
        <v>1751</v>
      </c>
      <c r="G9" s="70">
        <f t="shared" si="2"/>
        <v>-39.203640973630854</v>
      </c>
    </row>
    <row r="10" spans="1:7" s="35" customFormat="1" ht="15">
      <c r="A10" s="9" t="s">
        <v>209</v>
      </c>
      <c r="B10" s="64">
        <v>37.69</v>
      </c>
      <c r="C10" s="64">
        <v>0.75</v>
      </c>
      <c r="D10" s="9">
        <f t="shared" si="0"/>
        <v>3.301217038539554</v>
      </c>
      <c r="E10" s="9">
        <f t="shared" si="1"/>
        <v>1430.5934746450303</v>
      </c>
      <c r="F10" s="39">
        <v>1435</v>
      </c>
      <c r="G10" s="70">
        <f t="shared" si="2"/>
        <v>4.4065253549697445</v>
      </c>
    </row>
    <row r="11" spans="1:7" s="35" customFormat="1" ht="15">
      <c r="A11" s="9" t="s">
        <v>260</v>
      </c>
      <c r="B11" s="64">
        <v>24.72</v>
      </c>
      <c r="C11" s="64">
        <v>1.67</v>
      </c>
      <c r="D11" s="9">
        <f t="shared" si="0"/>
        <v>7.350709939148072</v>
      </c>
      <c r="E11" s="51"/>
      <c r="F11" s="52"/>
      <c r="G11" s="71"/>
    </row>
    <row r="12" spans="1:7" s="43" customFormat="1" ht="15">
      <c r="A12" s="41"/>
      <c r="B12" s="41"/>
      <c r="C12" s="41">
        <f>SUM(C4:C11)</f>
        <v>4.93</v>
      </c>
      <c r="D12" s="41">
        <v>21.7</v>
      </c>
      <c r="E12" s="41"/>
      <c r="F12" s="41"/>
      <c r="G12" s="41"/>
    </row>
    <row r="14" ht="31.5">
      <c r="A14" s="49"/>
    </row>
    <row r="15" ht="31.5">
      <c r="A15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00390625" style="0" customWidth="1"/>
    <col min="2" max="2" width="20.28125" style="0" customWidth="1"/>
    <col min="4" max="4" width="16.00390625" style="0" customWidth="1"/>
    <col min="6" max="6" width="11.8515625" style="0" customWidth="1"/>
  </cols>
  <sheetData>
    <row r="1" spans="1:5" s="28" customFormat="1" ht="21">
      <c r="A1" s="29" t="s">
        <v>251</v>
      </c>
      <c r="B1" s="30">
        <v>41793</v>
      </c>
      <c r="C1" s="31" t="s">
        <v>252</v>
      </c>
      <c r="D1" s="48">
        <v>35.65</v>
      </c>
      <c r="E1" s="28" t="s">
        <v>253</v>
      </c>
    </row>
    <row r="2" s="28" customFormat="1" ht="15">
      <c r="A2" s="46" t="s">
        <v>465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463</v>
      </c>
      <c r="B4" s="64">
        <v>6.29</v>
      </c>
      <c r="C4" s="64">
        <v>0.32</v>
      </c>
      <c r="D4" s="9">
        <f aca="true" t="shared" si="0" ref="D4:D10">C4/$C$11*$D$11</f>
        <v>1.4406639004149377</v>
      </c>
      <c r="E4" s="9">
        <f aca="true" t="shared" si="1" ref="E4:E9">(B4+D4)*$D$1</f>
        <v>275.59816804979255</v>
      </c>
      <c r="F4" s="39"/>
      <c r="G4" s="70">
        <f aca="true" t="shared" si="2" ref="G4:G9">-E4+F4</f>
        <v>-275.59816804979255</v>
      </c>
    </row>
    <row r="5" spans="1:7" s="35" customFormat="1" ht="15">
      <c r="A5" s="9" t="s">
        <v>118</v>
      </c>
      <c r="B5" s="64">
        <v>13.39</v>
      </c>
      <c r="C5" s="40">
        <v>0.11</v>
      </c>
      <c r="D5" s="9">
        <f t="shared" si="0"/>
        <v>0.4952282157676348</v>
      </c>
      <c r="E5" s="9">
        <f t="shared" si="1"/>
        <v>495.00838589211617</v>
      </c>
      <c r="F5" s="39">
        <v>495</v>
      </c>
      <c r="G5" s="70">
        <f t="shared" si="2"/>
        <v>-0.00838589211616636</v>
      </c>
    </row>
    <row r="6" spans="1:7" s="35" customFormat="1" ht="15">
      <c r="A6" s="5" t="s">
        <v>30</v>
      </c>
      <c r="B6" s="40">
        <v>57.63</v>
      </c>
      <c r="C6" s="40">
        <v>1.18</v>
      </c>
      <c r="D6" s="9">
        <f t="shared" si="0"/>
        <v>5.312448132780082</v>
      </c>
      <c r="E6" s="9">
        <f t="shared" si="1"/>
        <v>2243.89827593361</v>
      </c>
      <c r="F6" s="39">
        <f>2240+4</f>
        <v>2244</v>
      </c>
      <c r="G6" s="70">
        <f t="shared" si="2"/>
        <v>0.10172406639003384</v>
      </c>
    </row>
    <row r="7" spans="1:7" s="35" customFormat="1" ht="15">
      <c r="A7" s="9" t="s">
        <v>19</v>
      </c>
      <c r="B7" s="64">
        <v>14.57</v>
      </c>
      <c r="C7" s="64">
        <v>0.35</v>
      </c>
      <c r="D7" s="9">
        <f t="shared" si="0"/>
        <v>1.575726141078838</v>
      </c>
      <c r="E7" s="9">
        <f t="shared" si="1"/>
        <v>575.5951369294606</v>
      </c>
      <c r="F7" s="39">
        <v>570</v>
      </c>
      <c r="G7" s="70">
        <f t="shared" si="2"/>
        <v>-5.595136929460637</v>
      </c>
    </row>
    <row r="8" spans="1:7" s="35" customFormat="1" ht="15">
      <c r="A8" s="9" t="s">
        <v>266</v>
      </c>
      <c r="B8" s="40">
        <v>15.39</v>
      </c>
      <c r="C8" s="40">
        <v>0.16</v>
      </c>
      <c r="D8" s="9">
        <f t="shared" si="0"/>
        <v>0.7203319502074689</v>
      </c>
      <c r="E8" s="9">
        <f t="shared" si="1"/>
        <v>574.3333340248963</v>
      </c>
      <c r="F8" s="39">
        <v>636</v>
      </c>
      <c r="G8" s="70">
        <f t="shared" si="2"/>
        <v>61.66666597510368</v>
      </c>
    </row>
    <row r="9" spans="1:7" s="35" customFormat="1" ht="15">
      <c r="A9" s="5" t="s">
        <v>209</v>
      </c>
      <c r="B9" s="64">
        <v>24.62</v>
      </c>
      <c r="C9" s="64">
        <v>0.38</v>
      </c>
      <c r="D9" s="9">
        <f t="shared" si="0"/>
        <v>1.7107883817427385</v>
      </c>
      <c r="E9" s="9">
        <f t="shared" si="1"/>
        <v>938.6926058091286</v>
      </c>
      <c r="F9" s="39">
        <v>933</v>
      </c>
      <c r="G9" s="70">
        <f t="shared" si="2"/>
        <v>-5.692605809128622</v>
      </c>
    </row>
    <row r="10" spans="1:7" s="35" customFormat="1" ht="15">
      <c r="A10" s="9" t="s">
        <v>260</v>
      </c>
      <c r="B10" s="64">
        <v>38.3</v>
      </c>
      <c r="C10" s="64">
        <v>2.32</v>
      </c>
      <c r="D10" s="9">
        <f t="shared" si="0"/>
        <v>10.444813278008297</v>
      </c>
      <c r="E10" s="51"/>
      <c r="F10" s="52"/>
      <c r="G10" s="71"/>
    </row>
    <row r="11" spans="1:7" s="43" customFormat="1" ht="15">
      <c r="A11" s="41"/>
      <c r="B11" s="41"/>
      <c r="C11" s="41">
        <f>SUM(C4:C10)</f>
        <v>4.82</v>
      </c>
      <c r="D11" s="41">
        <v>21.7</v>
      </c>
      <c r="E11" s="41"/>
      <c r="F11" s="41"/>
      <c r="G11" s="41"/>
    </row>
    <row r="13" ht="31.5">
      <c r="A13" s="49"/>
    </row>
    <row r="14" ht="31.5">
      <c r="A14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4.28125" style="0" customWidth="1"/>
    <col min="2" max="2" width="20.28125" style="0" customWidth="1"/>
    <col min="4" max="4" width="16.00390625" style="0" customWidth="1"/>
    <col min="6" max="6" width="11.8515625" style="0" customWidth="1"/>
  </cols>
  <sheetData>
    <row r="1" spans="1:5" s="28" customFormat="1" ht="21">
      <c r="A1" s="29" t="s">
        <v>251</v>
      </c>
      <c r="B1" s="30">
        <v>41793</v>
      </c>
      <c r="C1" s="31" t="s">
        <v>252</v>
      </c>
      <c r="D1" s="48">
        <v>35.73</v>
      </c>
      <c r="E1" s="28" t="s">
        <v>253</v>
      </c>
    </row>
    <row r="2" s="28" customFormat="1" ht="15">
      <c r="A2" s="46" t="s">
        <v>466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305</v>
      </c>
      <c r="B4" s="64">
        <v>20.18</v>
      </c>
      <c r="C4" s="64">
        <v>0.13</v>
      </c>
      <c r="D4" s="9">
        <f>C4/$C$9*$D$9</f>
        <v>0.5676056338028169</v>
      </c>
      <c r="E4" s="9">
        <f>(B4+D4)*$D$1</f>
        <v>741.3119492957745</v>
      </c>
      <c r="F4" s="39">
        <v>738</v>
      </c>
      <c r="G4" s="70">
        <f>-E4+F4</f>
        <v>-3.311949295774525</v>
      </c>
    </row>
    <row r="5" spans="1:7" s="35" customFormat="1" ht="15">
      <c r="A5" s="9" t="s">
        <v>65</v>
      </c>
      <c r="B5" s="64">
        <v>55.51</v>
      </c>
      <c r="C5" s="40">
        <v>3.64</v>
      </c>
      <c r="D5" s="9">
        <f>C5/$C$9*$D$9</f>
        <v>15.892957746478872</v>
      </c>
      <c r="E5" s="9">
        <f>(B5+D5)*$D$1</f>
        <v>2551.22768028169</v>
      </c>
      <c r="F5" s="39">
        <v>2554</v>
      </c>
      <c r="G5" s="70">
        <f>-E5+F5</f>
        <v>2.772319718309973</v>
      </c>
    </row>
    <row r="6" spans="1:7" s="35" customFormat="1" ht="15">
      <c r="A6" s="5" t="s">
        <v>169</v>
      </c>
      <c r="B6" s="40">
        <v>13.5</v>
      </c>
      <c r="C6" s="40">
        <v>0.19</v>
      </c>
      <c r="D6" s="9">
        <f>C6/$C$9*$D$9</f>
        <v>0.8295774647887324</v>
      </c>
      <c r="E6" s="9">
        <f>(B6+D6)*$D$1</f>
        <v>511.99580281690135</v>
      </c>
      <c r="F6" s="39">
        <f>510+2</f>
        <v>512</v>
      </c>
      <c r="G6" s="70">
        <f>-E6+F6</f>
        <v>0.004197183098654023</v>
      </c>
    </row>
    <row r="7" spans="1:7" s="35" customFormat="1" ht="15">
      <c r="A7" s="9" t="s">
        <v>224</v>
      </c>
      <c r="B7" s="40">
        <v>16.8</v>
      </c>
      <c r="C7" s="40">
        <v>0.6</v>
      </c>
      <c r="D7" s="9">
        <f>C7/$C$9*$D$9</f>
        <v>2.619718309859155</v>
      </c>
      <c r="E7" s="9">
        <f>(B7+D7)*$D$1</f>
        <v>693.8665352112677</v>
      </c>
      <c r="F7" s="39">
        <v>691</v>
      </c>
      <c r="G7" s="70">
        <f>-E7+F7</f>
        <v>-2.86653521126766</v>
      </c>
    </row>
    <row r="8" spans="1:7" s="35" customFormat="1" ht="15">
      <c r="A8" s="9" t="s">
        <v>260</v>
      </c>
      <c r="B8" s="64">
        <v>33.51</v>
      </c>
      <c r="C8" s="64">
        <v>0.41</v>
      </c>
      <c r="D8" s="9">
        <f>C8/$C$9*$D$9</f>
        <v>1.7901408450704224</v>
      </c>
      <c r="E8" s="51"/>
      <c r="F8" s="52"/>
      <c r="G8" s="71"/>
    </row>
    <row r="9" spans="1:7" s="43" customFormat="1" ht="15">
      <c r="A9" s="41"/>
      <c r="B9" s="41"/>
      <c r="C9" s="41">
        <f>SUM(C4:C8)</f>
        <v>4.97</v>
      </c>
      <c r="D9" s="41">
        <v>21.7</v>
      </c>
      <c r="E9" s="41"/>
      <c r="F9" s="41"/>
      <c r="G9" s="41"/>
    </row>
    <row r="11" ht="31.5">
      <c r="A11" s="49"/>
    </row>
    <row r="12" ht="31.5">
      <c r="A1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41799</v>
      </c>
      <c r="C1" s="31" t="s">
        <v>252</v>
      </c>
      <c r="D1" s="48">
        <v>34.91</v>
      </c>
      <c r="E1" s="28" t="s">
        <v>253</v>
      </c>
    </row>
    <row r="2" s="28" customFormat="1" ht="15">
      <c r="A2" s="46" t="s">
        <v>467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96</v>
      </c>
      <c r="B4" s="64">
        <v>37.97</v>
      </c>
      <c r="C4" s="64">
        <v>0.72</v>
      </c>
      <c r="D4" s="9">
        <f aca="true" t="shared" si="0" ref="D4:D10">C4/$C$11*$D$11</f>
        <v>3.137349397590362</v>
      </c>
      <c r="E4" s="9">
        <f aca="true" t="shared" si="1" ref="E4:E9">(B4+D4)*$D$1</f>
        <v>1435.0575674698794</v>
      </c>
      <c r="F4" s="39">
        <v>1439</v>
      </c>
      <c r="G4" s="70">
        <f aca="true" t="shared" si="2" ref="G4:G9">-E4+F4</f>
        <v>3.942432530120641</v>
      </c>
    </row>
    <row r="5" spans="1:7" s="35" customFormat="1" ht="15">
      <c r="A5" s="9" t="s">
        <v>77</v>
      </c>
      <c r="B5" s="64">
        <v>47.73</v>
      </c>
      <c r="C5" s="40">
        <v>1.08</v>
      </c>
      <c r="D5" s="9">
        <f t="shared" si="0"/>
        <v>4.706024096385542</v>
      </c>
      <c r="E5" s="9">
        <f t="shared" si="1"/>
        <v>1830.541601204819</v>
      </c>
      <c r="F5" s="39">
        <v>1836.2</v>
      </c>
      <c r="G5" s="70">
        <f t="shared" si="2"/>
        <v>5.658398795181029</v>
      </c>
    </row>
    <row r="6" spans="1:7" s="35" customFormat="1" ht="15">
      <c r="A6" s="5" t="s">
        <v>340</v>
      </c>
      <c r="B6" s="40">
        <v>11.12</v>
      </c>
      <c r="C6" s="40">
        <v>0.25</v>
      </c>
      <c r="D6" s="9">
        <f t="shared" si="0"/>
        <v>1.0893574297188755</v>
      </c>
      <c r="E6" s="9">
        <f t="shared" si="1"/>
        <v>426.22866787148587</v>
      </c>
      <c r="F6" s="39">
        <f>70+364</f>
        <v>434</v>
      </c>
      <c r="G6" s="70">
        <f t="shared" si="2"/>
        <v>7.771332128514132</v>
      </c>
    </row>
    <row r="7" spans="1:7" s="35" customFormat="1" ht="15">
      <c r="A7" s="9" t="s">
        <v>268</v>
      </c>
      <c r="B7" s="64">
        <v>9.86</v>
      </c>
      <c r="C7" s="40">
        <v>0.07</v>
      </c>
      <c r="D7" s="9">
        <f t="shared" si="0"/>
        <v>0.3050200803212852</v>
      </c>
      <c r="E7" s="9">
        <f t="shared" si="1"/>
        <v>354.860851004016</v>
      </c>
      <c r="F7" s="39">
        <v>356</v>
      </c>
      <c r="G7" s="70">
        <f t="shared" si="2"/>
        <v>1.1391489959839873</v>
      </c>
    </row>
    <row r="8" spans="1:7" s="35" customFormat="1" ht="15">
      <c r="A8" s="5" t="s">
        <v>161</v>
      </c>
      <c r="B8" s="40">
        <v>3</v>
      </c>
      <c r="C8" s="40">
        <v>0.08</v>
      </c>
      <c r="D8" s="9">
        <f t="shared" si="0"/>
        <v>0.3485943775100402</v>
      </c>
      <c r="E8" s="9">
        <f t="shared" si="1"/>
        <v>116.8994297188755</v>
      </c>
      <c r="F8" s="39">
        <v>119</v>
      </c>
      <c r="G8" s="70">
        <f t="shared" si="2"/>
        <v>2.1005702811245044</v>
      </c>
    </row>
    <row r="9" spans="1:7" s="35" customFormat="1" ht="15">
      <c r="A9" s="9" t="s">
        <v>177</v>
      </c>
      <c r="B9" s="40">
        <v>10.94</v>
      </c>
      <c r="C9" s="40">
        <v>1.4</v>
      </c>
      <c r="D9" s="9">
        <f t="shared" si="0"/>
        <v>6.100401606425702</v>
      </c>
      <c r="E9" s="9">
        <f t="shared" si="1"/>
        <v>594.8804200803213</v>
      </c>
      <c r="F9" s="39">
        <v>597</v>
      </c>
      <c r="G9" s="70">
        <f t="shared" si="2"/>
        <v>2.1195799196786993</v>
      </c>
    </row>
    <row r="10" spans="1:7" s="35" customFormat="1" ht="15">
      <c r="A10" s="9" t="s">
        <v>260</v>
      </c>
      <c r="B10" s="64">
        <v>25.78</v>
      </c>
      <c r="C10" s="64">
        <v>1.38</v>
      </c>
      <c r="D10" s="9">
        <f t="shared" si="0"/>
        <v>6.013253012048192</v>
      </c>
      <c r="E10" s="51"/>
      <c r="F10" s="52"/>
      <c r="G10" s="71"/>
    </row>
    <row r="11" spans="1:7" s="43" customFormat="1" ht="15">
      <c r="A11" s="41"/>
      <c r="B11" s="41"/>
      <c r="C11" s="41">
        <f>SUM(C4:C10)</f>
        <v>4.9799999999999995</v>
      </c>
      <c r="D11" s="41">
        <v>21.7</v>
      </c>
      <c r="E11" s="41"/>
      <c r="F11" s="41"/>
      <c r="G11" s="41"/>
    </row>
    <row r="13" ht="31.5">
      <c r="A13" s="49"/>
    </row>
    <row r="14" ht="31.5">
      <c r="A14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4.28125" style="0" customWidth="1"/>
    <col min="2" max="2" width="20.28125" style="0" customWidth="1"/>
    <col min="4" max="4" width="16.00390625" style="0" customWidth="1"/>
    <col min="6" max="6" width="11.8515625" style="0" customWidth="1"/>
  </cols>
  <sheetData>
    <row r="1" spans="1:5" s="28" customFormat="1" ht="21">
      <c r="A1" s="29" t="s">
        <v>251</v>
      </c>
      <c r="B1" s="30">
        <v>41804</v>
      </c>
      <c r="C1" s="31" t="s">
        <v>252</v>
      </c>
      <c r="D1" s="48">
        <v>35.16</v>
      </c>
      <c r="E1" s="28" t="s">
        <v>253</v>
      </c>
    </row>
    <row r="2" s="28" customFormat="1" ht="15">
      <c r="A2" s="46" t="s">
        <v>468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469</v>
      </c>
      <c r="B4" s="64">
        <v>17.41</v>
      </c>
      <c r="C4" s="64">
        <v>1.14</v>
      </c>
      <c r="D4" s="9">
        <f>C4/$C$7*$D$7</f>
        <v>4.839183673469387</v>
      </c>
      <c r="E4" s="9">
        <f>(B4+D4)*$D$1</f>
        <v>782.2812979591837</v>
      </c>
      <c r="F4" s="39">
        <v>800</v>
      </c>
      <c r="G4" s="70">
        <f>-E4+F4</f>
        <v>17.71870204081631</v>
      </c>
    </row>
    <row r="5" spans="1:7" s="35" customFormat="1" ht="15">
      <c r="A5" s="9" t="s">
        <v>82</v>
      </c>
      <c r="B5" s="64">
        <v>16.12</v>
      </c>
      <c r="C5" s="40">
        <v>0.86</v>
      </c>
      <c r="D5" s="9">
        <f>C5/$C$7*$D$7</f>
        <v>3.650612244897959</v>
      </c>
      <c r="E5" s="9">
        <f>(B5+D5)*$D$1</f>
        <v>695.1347265306123</v>
      </c>
      <c r="F5" s="39">
        <v>692</v>
      </c>
      <c r="G5" s="70">
        <f>-E5+F5</f>
        <v>-3.1347265306122836</v>
      </c>
    </row>
    <row r="6" spans="1:7" s="35" customFormat="1" ht="15">
      <c r="A6" s="9" t="s">
        <v>260</v>
      </c>
      <c r="B6" s="64">
        <v>117.4</v>
      </c>
      <c r="C6" s="64">
        <v>2.9</v>
      </c>
      <c r="D6" s="9">
        <f>C6/$C$7*$D$7</f>
        <v>12.310204081632653</v>
      </c>
      <c r="E6" s="51"/>
      <c r="F6" s="52"/>
      <c r="G6" s="71"/>
    </row>
    <row r="7" spans="1:7" s="43" customFormat="1" ht="15">
      <c r="A7" s="41"/>
      <c r="B7" s="41"/>
      <c r="C7" s="41">
        <f>SUM(C4:C6)</f>
        <v>4.9</v>
      </c>
      <c r="D7" s="41">
        <v>20.8</v>
      </c>
      <c r="E7" s="41"/>
      <c r="F7" s="41"/>
      <c r="G7" s="41"/>
    </row>
    <row r="9" ht="31.5">
      <c r="A9" s="49"/>
    </row>
    <row r="10" ht="31.5">
      <c r="A10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indexed="10"/>
  </sheetPr>
  <dimension ref="A1:H8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14.28125" style="0" customWidth="1"/>
    <col min="2" max="2" width="20.28125" style="0" customWidth="1"/>
    <col min="4" max="4" width="16.00390625" style="0" customWidth="1"/>
    <col min="5" max="5" width="11.57421875" style="0" customWidth="1"/>
    <col min="6" max="6" width="11.8515625" style="0" customWidth="1"/>
  </cols>
  <sheetData>
    <row r="1" spans="1:5" s="28" customFormat="1" ht="21">
      <c r="A1" s="29" t="s">
        <v>251</v>
      </c>
      <c r="B1" s="30">
        <v>41804</v>
      </c>
      <c r="C1" s="31" t="s">
        <v>252</v>
      </c>
      <c r="D1" s="48">
        <v>35.16</v>
      </c>
      <c r="E1" s="28" t="s">
        <v>253</v>
      </c>
    </row>
    <row r="2" s="28" customFormat="1" ht="15">
      <c r="A2" s="46" t="s">
        <v>468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8" s="35" customFormat="1" ht="90">
      <c r="A4" s="9" t="s">
        <v>137</v>
      </c>
      <c r="B4" s="64">
        <v>11.22</v>
      </c>
      <c r="C4" s="64">
        <v>4.67</v>
      </c>
      <c r="D4" s="9">
        <f>C4/$C$5*$D$5</f>
        <v>24</v>
      </c>
      <c r="E4" s="9">
        <f>(B4+D4)*$D$1</f>
        <v>1238.3351999999998</v>
      </c>
      <c r="F4" s="39">
        <f>1510-230</f>
        <v>1280</v>
      </c>
      <c r="G4" s="70">
        <f>-E4+F4</f>
        <v>41.66480000000024</v>
      </c>
      <c r="H4" s="93" t="s">
        <v>470</v>
      </c>
    </row>
    <row r="5" spans="1:7" s="43" customFormat="1" ht="15">
      <c r="A5" s="41"/>
      <c r="B5" s="41"/>
      <c r="C5" s="41">
        <f>SUM(C4:C4)</f>
        <v>4.67</v>
      </c>
      <c r="D5" s="41">
        <v>24</v>
      </c>
      <c r="E5" s="41"/>
      <c r="F5" s="41"/>
      <c r="G5" s="41"/>
    </row>
    <row r="7" ht="31.5">
      <c r="A7" s="49"/>
    </row>
    <row r="8" ht="31.5">
      <c r="A8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41227</v>
      </c>
      <c r="C1" s="31" t="s">
        <v>252</v>
      </c>
      <c r="D1" s="32">
        <v>31.691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274</v>
      </c>
      <c r="B4" s="9">
        <v>12.95</v>
      </c>
      <c r="C4" s="9">
        <v>0.16</v>
      </c>
      <c r="D4" s="9">
        <f aca="true" t="shared" si="0" ref="D4:D11">C4/$C$12*$D$12</f>
        <v>0.42857142857142855</v>
      </c>
      <c r="E4" s="9"/>
      <c r="F4" s="39"/>
      <c r="G4" s="39"/>
    </row>
    <row r="5" spans="1:7" s="35" customFormat="1" ht="15">
      <c r="A5" s="9" t="s">
        <v>56</v>
      </c>
      <c r="B5" s="9">
        <v>12.95</v>
      </c>
      <c r="C5" s="9">
        <v>0.16</v>
      </c>
      <c r="D5" s="9">
        <f t="shared" si="0"/>
        <v>0.42857142857142855</v>
      </c>
      <c r="E5" s="9">
        <f aca="true" t="shared" si="1" ref="E5:E11">(B5+D5)*$D$1</f>
        <v>423.9803071428571</v>
      </c>
      <c r="F5" s="39">
        <v>366</v>
      </c>
      <c r="G5" s="39">
        <f aca="true" t="shared" si="2" ref="G5:G11">-E5+F5</f>
        <v>-57.9803071428571</v>
      </c>
    </row>
    <row r="6" spans="1:7" ht="15">
      <c r="A6" s="11" t="s">
        <v>36</v>
      </c>
      <c r="B6" s="11">
        <v>10.212</v>
      </c>
      <c r="C6" s="11">
        <v>0.24</v>
      </c>
      <c r="D6" s="9">
        <f t="shared" si="0"/>
        <v>0.6428571428571428</v>
      </c>
      <c r="E6" s="9">
        <f t="shared" si="1"/>
        <v>344.00127771428566</v>
      </c>
      <c r="F6" s="11"/>
      <c r="G6" s="39">
        <f t="shared" si="2"/>
        <v>-344.00127771428566</v>
      </c>
    </row>
    <row r="7" spans="1:7" ht="15">
      <c r="A7" s="11" t="s">
        <v>275</v>
      </c>
      <c r="B7" s="11">
        <v>20.376</v>
      </c>
      <c r="C7" s="11">
        <v>0.86</v>
      </c>
      <c r="D7" s="9">
        <f t="shared" si="0"/>
        <v>2.3035714285714284</v>
      </c>
      <c r="E7" s="9">
        <f t="shared" si="1"/>
        <v>718.7382981428572</v>
      </c>
      <c r="F7" s="11">
        <v>693</v>
      </c>
      <c r="G7" s="39">
        <f t="shared" si="2"/>
        <v>-25.73829814285716</v>
      </c>
    </row>
    <row r="8" spans="1:7" s="35" customFormat="1" ht="15">
      <c r="A8" s="9" t="s">
        <v>247</v>
      </c>
      <c r="B8" s="9">
        <v>2.9</v>
      </c>
      <c r="C8" s="9">
        <v>0.14</v>
      </c>
      <c r="D8" s="9">
        <f t="shared" si="0"/>
        <v>0.375</v>
      </c>
      <c r="E8" s="9">
        <f t="shared" si="1"/>
        <v>103.78802499999999</v>
      </c>
      <c r="F8" s="39">
        <v>104</v>
      </c>
      <c r="G8" s="39">
        <f t="shared" si="2"/>
        <v>0.21197500000000957</v>
      </c>
    </row>
    <row r="9" spans="1:7" s="35" customFormat="1" ht="15">
      <c r="A9" s="9" t="s">
        <v>216</v>
      </c>
      <c r="B9" s="9">
        <v>1.75</v>
      </c>
      <c r="C9" s="9">
        <v>0.11</v>
      </c>
      <c r="D9" s="9">
        <f t="shared" si="0"/>
        <v>0.29464285714285715</v>
      </c>
      <c r="E9" s="9">
        <f t="shared" si="1"/>
        <v>64.79677678571429</v>
      </c>
      <c r="F9" s="39"/>
      <c r="G9" s="39">
        <f t="shared" si="2"/>
        <v>-64.79677678571429</v>
      </c>
    </row>
    <row r="10" spans="1:7" s="35" customFormat="1" ht="15">
      <c r="A10" s="9" t="s">
        <v>89</v>
      </c>
      <c r="B10" s="9">
        <v>17.65</v>
      </c>
      <c r="C10" s="9">
        <v>0.22</v>
      </c>
      <c r="D10" s="9">
        <f t="shared" si="0"/>
        <v>0.5892857142857143</v>
      </c>
      <c r="E10" s="9">
        <f t="shared" si="1"/>
        <v>578.0212035714285</v>
      </c>
      <c r="F10" s="39">
        <v>584</v>
      </c>
      <c r="G10" s="39">
        <f t="shared" si="2"/>
        <v>5.978796428571513</v>
      </c>
    </row>
    <row r="11" spans="1:7" ht="15">
      <c r="A11" s="13" t="s">
        <v>264</v>
      </c>
      <c r="B11" s="9">
        <v>3.31</v>
      </c>
      <c r="C11" s="9">
        <v>0.35</v>
      </c>
      <c r="D11" s="9">
        <f t="shared" si="0"/>
        <v>0.9374999999999998</v>
      </c>
      <c r="E11" s="9">
        <f t="shared" si="1"/>
        <v>134.6075225</v>
      </c>
      <c r="F11" s="39">
        <v>114</v>
      </c>
      <c r="G11" s="39">
        <f t="shared" si="2"/>
        <v>-20.607522499999988</v>
      </c>
    </row>
    <row r="12" spans="1:7" ht="15">
      <c r="A12" s="41" t="s">
        <v>276</v>
      </c>
      <c r="B12" s="36"/>
      <c r="C12" s="41">
        <f>SUM(C4:C11)</f>
        <v>2.24</v>
      </c>
      <c r="D12" s="41">
        <v>6</v>
      </c>
      <c r="E12" s="36"/>
      <c r="F12" s="11"/>
      <c r="G12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41813</v>
      </c>
      <c r="C1" s="31" t="s">
        <v>252</v>
      </c>
      <c r="D1" s="48">
        <v>34.49</v>
      </c>
      <c r="E1" s="28" t="s">
        <v>253</v>
      </c>
    </row>
    <row r="2" s="28" customFormat="1" ht="15">
      <c r="A2" s="46" t="s">
        <v>471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31</v>
      </c>
      <c r="B4" s="64">
        <v>18.83</v>
      </c>
      <c r="C4" s="64">
        <v>1.44</v>
      </c>
      <c r="D4" s="9">
        <f aca="true" t="shared" si="0" ref="D4:D9">C4/$C$10*$D$10</f>
        <v>6.050909090909091</v>
      </c>
      <c r="E4" s="9">
        <f>(B4+D4)*$D$1</f>
        <v>858.1425545454546</v>
      </c>
      <c r="F4" s="39">
        <v>870</v>
      </c>
      <c r="G4" s="70">
        <f>-E4+F4</f>
        <v>11.857445454545427</v>
      </c>
    </row>
    <row r="5" spans="1:7" s="35" customFormat="1" ht="15">
      <c r="A5" s="9" t="s">
        <v>143</v>
      </c>
      <c r="B5" s="64">
        <v>45.22</v>
      </c>
      <c r="C5" s="40">
        <v>0.6</v>
      </c>
      <c r="D5" s="9">
        <f t="shared" si="0"/>
        <v>2.521212121212121</v>
      </c>
      <c r="E5" s="9">
        <f>(B5+D5)*$D$1</f>
        <v>1646.5944060606062</v>
      </c>
      <c r="F5" s="39">
        <v>1664</v>
      </c>
      <c r="G5" s="70">
        <f>-E5+F5</f>
        <v>17.40559393939384</v>
      </c>
    </row>
    <row r="6" spans="1:7" s="35" customFormat="1" ht="15">
      <c r="A6" s="5" t="s">
        <v>73</v>
      </c>
      <c r="B6" s="40">
        <v>31.48</v>
      </c>
      <c r="C6" s="40">
        <v>0.62</v>
      </c>
      <c r="D6" s="9">
        <f t="shared" si="0"/>
        <v>2.6052525252525256</v>
      </c>
      <c r="E6" s="9">
        <f>(B6+D6)*$D$1</f>
        <v>1175.6003595959598</v>
      </c>
      <c r="F6" s="39">
        <f>1062+116</f>
        <v>1178</v>
      </c>
      <c r="G6" s="70">
        <f>-E6+F6</f>
        <v>2.3996404040401558</v>
      </c>
    </row>
    <row r="7" spans="1:7" s="35" customFormat="1" ht="15">
      <c r="A7" s="9" t="s">
        <v>50</v>
      </c>
      <c r="B7" s="58">
        <v>3.06</v>
      </c>
      <c r="C7" s="64">
        <v>0.11</v>
      </c>
      <c r="D7" s="9">
        <f t="shared" si="0"/>
        <v>0.46222222222222226</v>
      </c>
      <c r="E7" s="9">
        <f>(B7+D7)*$D$1</f>
        <v>121.48144444444445</v>
      </c>
      <c r="F7" s="39">
        <v>123</v>
      </c>
      <c r="G7" s="70">
        <f>-E7+F7</f>
        <v>1.518555555555551</v>
      </c>
    </row>
    <row r="8" spans="1:7" s="35" customFormat="1" ht="15">
      <c r="A8" s="5" t="s">
        <v>92</v>
      </c>
      <c r="B8" s="58">
        <v>3.06</v>
      </c>
      <c r="C8" s="64">
        <v>0.11</v>
      </c>
      <c r="D8" s="9">
        <f t="shared" si="0"/>
        <v>0.46222222222222226</v>
      </c>
      <c r="E8" s="9">
        <f>(B8+D8)*$D$1</f>
        <v>121.48144444444445</v>
      </c>
      <c r="F8" s="39">
        <v>123</v>
      </c>
      <c r="G8" s="70">
        <f>-E8+F8</f>
        <v>1.518555555555551</v>
      </c>
    </row>
    <row r="9" spans="1:7" s="35" customFormat="1" ht="15">
      <c r="A9" s="9" t="s">
        <v>260</v>
      </c>
      <c r="B9" s="64">
        <v>33.65</v>
      </c>
      <c r="C9" s="64">
        <v>2.07</v>
      </c>
      <c r="D9" s="9">
        <f t="shared" si="0"/>
        <v>8.698181818181817</v>
      </c>
      <c r="E9" s="51"/>
      <c r="F9" s="52"/>
      <c r="G9" s="71"/>
    </row>
    <row r="10" spans="1:7" s="43" customFormat="1" ht="15">
      <c r="A10" s="41"/>
      <c r="B10" s="41"/>
      <c r="C10" s="41">
        <v>4.95</v>
      </c>
      <c r="D10" s="41">
        <v>20.8</v>
      </c>
      <c r="E10" s="41"/>
      <c r="F10" s="41"/>
      <c r="G10" s="41"/>
    </row>
    <row r="12" ht="31.5">
      <c r="A12" s="49"/>
    </row>
    <row r="13" ht="31.5">
      <c r="A13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41813</v>
      </c>
      <c r="C1" s="31" t="s">
        <v>252</v>
      </c>
      <c r="D1" s="48">
        <v>34.49</v>
      </c>
      <c r="E1" s="28" t="s">
        <v>253</v>
      </c>
    </row>
    <row r="2" s="28" customFormat="1" ht="15">
      <c r="A2" s="46" t="s">
        <v>471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129</v>
      </c>
      <c r="B4" s="64">
        <v>7.47</v>
      </c>
      <c r="C4" s="64">
        <v>0.23</v>
      </c>
      <c r="D4" s="9">
        <f aca="true" t="shared" si="0" ref="D4:D9">C4/$C$10*$D$10</f>
        <v>0.9684210526315792</v>
      </c>
      <c r="E4" s="9">
        <f>(B4+D4)*$D$1</f>
        <v>291.0411421052632</v>
      </c>
      <c r="F4" s="39">
        <v>290</v>
      </c>
      <c r="G4" s="70">
        <f>-E4+F4</f>
        <v>-1.0411421052631908</v>
      </c>
    </row>
    <row r="5" spans="1:7" s="35" customFormat="1" ht="15">
      <c r="A5" s="9" t="s">
        <v>331</v>
      </c>
      <c r="B5" s="11">
        <v>6</v>
      </c>
      <c r="C5" s="40">
        <v>0.12</v>
      </c>
      <c r="D5" s="9">
        <f t="shared" si="0"/>
        <v>0.5052631578947369</v>
      </c>
      <c r="E5" s="9">
        <f>(B5+D5)*$D$1</f>
        <v>224.36652631578949</v>
      </c>
      <c r="F5" s="39">
        <v>230</v>
      </c>
      <c r="G5" s="70">
        <f>-E5+F5</f>
        <v>5.633473684210514</v>
      </c>
    </row>
    <row r="6" spans="1:7" s="35" customFormat="1" ht="15">
      <c r="A6" s="5" t="s">
        <v>84</v>
      </c>
      <c r="B6" s="40">
        <v>17.29</v>
      </c>
      <c r="C6" s="40">
        <v>1.6</v>
      </c>
      <c r="D6" s="9">
        <f t="shared" si="0"/>
        <v>6.736842105263159</v>
      </c>
      <c r="E6" s="9">
        <f>(B6+D6)*$D$1</f>
        <v>828.6857842105263</v>
      </c>
      <c r="F6" s="39">
        <v>840</v>
      </c>
      <c r="G6" s="70">
        <f>-E6+F6</f>
        <v>11.314215789473678</v>
      </c>
    </row>
    <row r="7" spans="1:7" s="35" customFormat="1" ht="15">
      <c r="A7" s="9" t="s">
        <v>96</v>
      </c>
      <c r="B7" s="64">
        <v>24.26</v>
      </c>
      <c r="C7" s="40">
        <v>0.55</v>
      </c>
      <c r="D7" s="9">
        <f t="shared" si="0"/>
        <v>2.315789473684211</v>
      </c>
      <c r="E7" s="9">
        <f>(B7+D7)*$D$1</f>
        <v>916.5989789473686</v>
      </c>
      <c r="F7" s="39">
        <v>923</v>
      </c>
      <c r="G7" s="70">
        <f>-E7+F7</f>
        <v>6.4010210526314495</v>
      </c>
    </row>
    <row r="8" spans="1:7" s="35" customFormat="1" ht="15">
      <c r="A8" s="5" t="s">
        <v>460</v>
      </c>
      <c r="B8" s="40">
        <v>26.05</v>
      </c>
      <c r="C8" s="40">
        <v>0.72</v>
      </c>
      <c r="D8" s="9">
        <f t="shared" si="0"/>
        <v>3.0315789473684216</v>
      </c>
      <c r="E8" s="9">
        <f>(B8+D8)*$D$1</f>
        <v>1003.0236578947369</v>
      </c>
      <c r="F8" s="39">
        <v>1100</v>
      </c>
      <c r="G8" s="70">
        <f>-E8+F8</f>
        <v>96.97634210526314</v>
      </c>
    </row>
    <row r="9" spans="1:7" s="35" customFormat="1" ht="15">
      <c r="A9" s="9" t="s">
        <v>260</v>
      </c>
      <c r="B9" s="64">
        <v>49.74</v>
      </c>
      <c r="C9" s="64">
        <v>1.72</v>
      </c>
      <c r="D9" s="9">
        <f t="shared" si="0"/>
        <v>7.242105263157895</v>
      </c>
      <c r="E9" s="51"/>
      <c r="F9" s="52"/>
      <c r="G9" s="71"/>
    </row>
    <row r="10" spans="1:7" s="43" customFormat="1" ht="15">
      <c r="A10" s="41"/>
      <c r="B10" s="41"/>
      <c r="C10" s="41">
        <f>SUM(C4:C9)</f>
        <v>4.9399999999999995</v>
      </c>
      <c r="D10" s="41">
        <v>20.8</v>
      </c>
      <c r="E10" s="41"/>
      <c r="F10" s="41"/>
      <c r="G10" s="41"/>
    </row>
    <row r="12" ht="31.5">
      <c r="A12" s="49"/>
    </row>
    <row r="13" ht="31.5">
      <c r="A13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41821</v>
      </c>
      <c r="C1" s="31" t="s">
        <v>252</v>
      </c>
      <c r="D1" s="48">
        <v>34.84</v>
      </c>
      <c r="E1" s="28" t="s">
        <v>253</v>
      </c>
    </row>
    <row r="2" s="28" customFormat="1" ht="15">
      <c r="A2" s="46" t="s">
        <v>472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371</v>
      </c>
      <c r="B4" s="64">
        <v>86.2</v>
      </c>
      <c r="C4" s="64">
        <v>2.14</v>
      </c>
      <c r="D4" s="9">
        <f>C4/$C$6*$D$6</f>
        <v>9.476014760147603</v>
      </c>
      <c r="E4" s="9">
        <f>(B4+D4)*$D$1</f>
        <v>3333.3523542435432</v>
      </c>
      <c r="F4" s="39">
        <v>58</v>
      </c>
      <c r="G4" s="70">
        <f>-E4+F4</f>
        <v>-3275.3523542435432</v>
      </c>
    </row>
    <row r="5" spans="1:7" s="35" customFormat="1" ht="15">
      <c r="A5" s="9" t="s">
        <v>260</v>
      </c>
      <c r="B5" s="64">
        <v>10.2</v>
      </c>
      <c r="C5" s="64">
        <v>0.57</v>
      </c>
      <c r="D5" s="9">
        <f>C5/$C$6*$D$6</f>
        <v>2.523985239852398</v>
      </c>
      <c r="E5" s="51"/>
      <c r="F5" s="52"/>
      <c r="G5" s="71"/>
    </row>
    <row r="6" spans="1:7" s="43" customFormat="1" ht="15">
      <c r="A6" s="41"/>
      <c r="B6" s="41"/>
      <c r="C6" s="41">
        <f>SUM(C4:C5)</f>
        <v>2.71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7.710937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41821</v>
      </c>
      <c r="C1" s="31" t="s">
        <v>252</v>
      </c>
      <c r="D1" s="48">
        <v>34.84</v>
      </c>
      <c r="E1" s="28" t="s">
        <v>253</v>
      </c>
    </row>
    <row r="2" s="28" customFormat="1" ht="15">
      <c r="A2" s="46" t="s">
        <v>472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371</v>
      </c>
      <c r="B4" s="64">
        <v>42.5</v>
      </c>
      <c r="C4" s="64">
        <v>0.46</v>
      </c>
      <c r="D4" s="9">
        <f aca="true" t="shared" si="0" ref="D4:D9">C4/$C$10*$D$10</f>
        <v>2.0597014925373136</v>
      </c>
      <c r="E4" s="9">
        <f>(B4+D4)*$D$1</f>
        <v>1552.4600000000003</v>
      </c>
      <c r="F4" s="39"/>
      <c r="G4" s="70">
        <f>-E4+F4</f>
        <v>-1552.4600000000003</v>
      </c>
    </row>
    <row r="5" spans="1:7" s="35" customFormat="1" ht="15">
      <c r="A5" s="9" t="s">
        <v>233</v>
      </c>
      <c r="B5" s="11">
        <v>5.39</v>
      </c>
      <c r="C5" s="40">
        <v>0.62</v>
      </c>
      <c r="D5" s="9">
        <f t="shared" si="0"/>
        <v>2.776119402985074</v>
      </c>
      <c r="E5" s="9">
        <f>(B5+D5)*$D$1</f>
        <v>284.5076</v>
      </c>
      <c r="F5" s="39">
        <f>281+3</f>
        <v>284</v>
      </c>
      <c r="G5" s="70">
        <f>-E5+F5</f>
        <v>-0.5076000000000249</v>
      </c>
    </row>
    <row r="6" spans="1:7" s="35" customFormat="1" ht="30">
      <c r="A6" s="5" t="s">
        <v>215</v>
      </c>
      <c r="B6" s="11">
        <v>6.75</v>
      </c>
      <c r="C6" s="40">
        <v>0.05</v>
      </c>
      <c r="D6" s="9">
        <f t="shared" si="0"/>
        <v>0.22388059701492535</v>
      </c>
      <c r="E6" s="9">
        <f>(B6+D6)*$D$1</f>
        <v>242.97000000000003</v>
      </c>
      <c r="F6" s="39">
        <v>241</v>
      </c>
      <c r="G6" s="70">
        <f>-E6+F6</f>
        <v>-1.9700000000000273</v>
      </c>
    </row>
    <row r="7" spans="1:7" s="35" customFormat="1" ht="15">
      <c r="A7" s="9" t="s">
        <v>190</v>
      </c>
      <c r="B7" s="11">
        <v>7.25</v>
      </c>
      <c r="C7" s="40">
        <v>0.08</v>
      </c>
      <c r="D7" s="9">
        <f t="shared" si="0"/>
        <v>0.3582089552238806</v>
      </c>
      <c r="E7" s="9">
        <f>(B7+D7)*$D$1</f>
        <v>265.07000000000005</v>
      </c>
      <c r="F7" s="39">
        <v>262</v>
      </c>
      <c r="G7" s="70">
        <f>-E7+F7</f>
        <v>-3.07000000000005</v>
      </c>
    </row>
    <row r="8" spans="1:7" s="35" customFormat="1" ht="15">
      <c r="A8" s="5" t="s">
        <v>107</v>
      </c>
      <c r="B8" s="11">
        <v>10.82</v>
      </c>
      <c r="C8" s="40">
        <v>0.35</v>
      </c>
      <c r="D8" s="9">
        <f t="shared" si="0"/>
        <v>1.5671641791044775</v>
      </c>
      <c r="E8" s="9">
        <f>(B8+D8)*$D$1</f>
        <v>431.5688</v>
      </c>
      <c r="F8" s="39">
        <v>427</v>
      </c>
      <c r="G8" s="70">
        <f>-E8+F8</f>
        <v>-4.56880000000001</v>
      </c>
    </row>
    <row r="9" spans="1:7" s="35" customFormat="1" ht="15">
      <c r="A9" s="9" t="s">
        <v>260</v>
      </c>
      <c r="B9" s="64">
        <v>25.14</v>
      </c>
      <c r="C9" s="64">
        <v>1.12</v>
      </c>
      <c r="D9" s="9">
        <f t="shared" si="0"/>
        <v>5.014925373134329</v>
      </c>
      <c r="E9" s="51"/>
      <c r="F9" s="52"/>
      <c r="G9" s="71"/>
    </row>
    <row r="10" spans="1:7" s="43" customFormat="1" ht="15">
      <c r="A10" s="41"/>
      <c r="B10" s="41"/>
      <c r="C10" s="41">
        <f>SUM(C4:C9)</f>
        <v>2.68</v>
      </c>
      <c r="D10" s="41">
        <v>12</v>
      </c>
      <c r="E10" s="41"/>
      <c r="F10" s="41"/>
      <c r="G10" s="41"/>
    </row>
    <row r="12" ht="31.5">
      <c r="A12" s="49"/>
    </row>
    <row r="13" ht="31.5">
      <c r="A13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41821</v>
      </c>
      <c r="C1" s="31" t="s">
        <v>252</v>
      </c>
      <c r="D1" s="48">
        <v>34.84</v>
      </c>
      <c r="E1" s="28" t="s">
        <v>253</v>
      </c>
    </row>
    <row r="2" s="28" customFormat="1" ht="15">
      <c r="A2" s="46" t="s">
        <v>472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268</v>
      </c>
      <c r="B4" s="11">
        <f>9.18*0.8</f>
        <v>7.344</v>
      </c>
      <c r="C4" s="11">
        <v>0.27</v>
      </c>
      <c r="D4" s="9">
        <f>C4/$C$7*$D$7</f>
        <v>1.2044609665427508</v>
      </c>
      <c r="E4" s="9">
        <f>(B4+D4)*$D$1</f>
        <v>297.8283800743495</v>
      </c>
      <c r="F4" s="39">
        <v>295</v>
      </c>
      <c r="G4" s="70">
        <f>-E4+F4</f>
        <v>-2.828380074349525</v>
      </c>
    </row>
    <row r="5" spans="1:7" s="35" customFormat="1" ht="15">
      <c r="A5" s="9" t="s">
        <v>371</v>
      </c>
      <c r="B5" s="11">
        <v>23.9</v>
      </c>
      <c r="C5" s="40">
        <v>0.28</v>
      </c>
      <c r="D5" s="9">
        <f>C5/$C$7*$D$7</f>
        <v>1.24907063197026</v>
      </c>
      <c r="E5" s="9">
        <f>(B5+D5)*$D$1</f>
        <v>876.1936208178439</v>
      </c>
      <c r="F5" s="39">
        <v>5701</v>
      </c>
      <c r="G5" s="70">
        <f>-E5+F5</f>
        <v>4824.806379182156</v>
      </c>
    </row>
    <row r="6" spans="1:7" s="35" customFormat="1" ht="15">
      <c r="A6" s="9" t="s">
        <v>260</v>
      </c>
      <c r="B6" s="64">
        <v>65.36</v>
      </c>
      <c r="C6" s="64">
        <v>2.14</v>
      </c>
      <c r="D6" s="9">
        <f>C6/$C$7*$D$7</f>
        <v>9.546468401486987</v>
      </c>
      <c r="E6" s="51"/>
      <c r="F6" s="52"/>
      <c r="G6" s="71"/>
    </row>
    <row r="7" spans="1:7" s="43" customFormat="1" ht="15">
      <c r="A7" s="41"/>
      <c r="B7" s="41"/>
      <c r="C7" s="41">
        <f>SUM(C4:C6)</f>
        <v>2.6900000000000004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41827</v>
      </c>
      <c r="C1" s="31" t="s">
        <v>252</v>
      </c>
      <c r="D1" s="48">
        <v>34.69</v>
      </c>
      <c r="E1" s="28" t="s">
        <v>253</v>
      </c>
    </row>
    <row r="2" s="28" customFormat="1" ht="15">
      <c r="A2" s="46" t="s">
        <v>473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474</v>
      </c>
      <c r="B4" s="94">
        <v>10.36</v>
      </c>
      <c r="C4" s="95">
        <v>0.27</v>
      </c>
      <c r="D4" s="9">
        <f>C4/$C$8*$D$8</f>
        <v>1.2461538461538462</v>
      </c>
      <c r="E4" s="9">
        <f>(B4+D4)*$D$1</f>
        <v>402.6174769230768</v>
      </c>
      <c r="F4" s="39">
        <v>392</v>
      </c>
      <c r="G4" s="70">
        <f>-E4+F4</f>
        <v>-10.617476923076822</v>
      </c>
    </row>
    <row r="5" spans="1:7" s="35" customFormat="1" ht="15">
      <c r="A5" s="15" t="s">
        <v>340</v>
      </c>
      <c r="B5" s="94">
        <v>10.36</v>
      </c>
      <c r="C5" s="95">
        <v>0.27</v>
      </c>
      <c r="D5" s="9">
        <f>C5/$C$8*$D$8</f>
        <v>1.2461538461538462</v>
      </c>
      <c r="E5" s="9">
        <f>(B5+D5)*$D$1</f>
        <v>402.6174769230768</v>
      </c>
      <c r="F5" s="39">
        <v>400</v>
      </c>
      <c r="G5" s="70">
        <f>-E5+F5</f>
        <v>-2.617476923076822</v>
      </c>
    </row>
    <row r="6" spans="1:7" s="35" customFormat="1" ht="15">
      <c r="A6" s="15" t="s">
        <v>143</v>
      </c>
      <c r="B6" s="11">
        <v>48.63</v>
      </c>
      <c r="C6" s="40">
        <v>0.51</v>
      </c>
      <c r="D6" s="9">
        <f>C6/$C$8*$D$8</f>
        <v>2.353846153846154</v>
      </c>
      <c r="E6" s="9">
        <f>(B6+D6)*$D$1</f>
        <v>1768.629623076923</v>
      </c>
      <c r="F6" s="39">
        <v>1775</v>
      </c>
      <c r="G6" s="70">
        <f>-E6+F6</f>
        <v>6.370376923076947</v>
      </c>
    </row>
    <row r="7" spans="1:7" s="35" customFormat="1" ht="15">
      <c r="A7" s="9" t="s">
        <v>260</v>
      </c>
      <c r="B7" s="64">
        <v>29</v>
      </c>
      <c r="C7" s="64">
        <v>1.55</v>
      </c>
      <c r="D7" s="9">
        <f>C7/$C$8*$D$8</f>
        <v>7.153846153846153</v>
      </c>
      <c r="E7" s="51"/>
      <c r="F7" s="52"/>
      <c r="G7" s="71"/>
    </row>
    <row r="8" spans="1:7" s="43" customFormat="1" ht="15">
      <c r="A8" s="41"/>
      <c r="B8" s="41"/>
      <c r="C8" s="41">
        <f>SUM(C4:C7)</f>
        <v>2.6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41827</v>
      </c>
      <c r="C1" s="31" t="s">
        <v>252</v>
      </c>
      <c r="D1" s="48">
        <v>34.69</v>
      </c>
      <c r="E1" s="28" t="s">
        <v>253</v>
      </c>
    </row>
    <row r="2" s="28" customFormat="1" ht="15">
      <c r="A2" s="46" t="s">
        <v>473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460</v>
      </c>
      <c r="B4" s="94">
        <v>6.94</v>
      </c>
      <c r="C4" s="95">
        <v>0.38</v>
      </c>
      <c r="D4" s="9">
        <f>C4/$C$7*$D$7</f>
        <v>1.682656826568266</v>
      </c>
      <c r="E4" s="9">
        <f>(B4+D4)*$D$1</f>
        <v>299.11996531365315</v>
      </c>
      <c r="F4" s="39"/>
      <c r="G4" s="70">
        <f>-E4+F4</f>
        <v>-299.11996531365315</v>
      </c>
    </row>
    <row r="5" spans="1:7" s="35" customFormat="1" ht="15">
      <c r="A5" s="15" t="s">
        <v>350</v>
      </c>
      <c r="B5" s="94">
        <v>69.29</v>
      </c>
      <c r="C5" s="95">
        <v>0.87</v>
      </c>
      <c r="D5" s="9">
        <f>C5/$C$7*$D$7</f>
        <v>3.8523985239852396</v>
      </c>
      <c r="E5" s="9">
        <f>(B5+D5)*$D$1</f>
        <v>2537.309804797048</v>
      </c>
      <c r="F5" s="39"/>
      <c r="G5" s="70">
        <f>-E5+F5</f>
        <v>-2537.309804797048</v>
      </c>
    </row>
    <row r="6" spans="1:7" s="35" customFormat="1" ht="15">
      <c r="A6" s="9" t="s">
        <v>260</v>
      </c>
      <c r="B6" s="64">
        <v>21.93</v>
      </c>
      <c r="C6" s="64">
        <v>1.46</v>
      </c>
      <c r="D6" s="9">
        <f>C6/$C$7*$D$7</f>
        <v>6.464944649446495</v>
      </c>
      <c r="E6" s="51"/>
      <c r="F6" s="52"/>
      <c r="G6" s="71"/>
    </row>
    <row r="7" spans="1:7" s="43" customFormat="1" ht="15">
      <c r="A7" s="41"/>
      <c r="B7" s="41"/>
      <c r="C7" s="41">
        <f>SUM(C4:C6)</f>
        <v>2.71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indexed="10"/>
  </sheetPr>
  <dimension ref="A1:H6"/>
  <sheetViews>
    <sheetView zoomScalePageLayoutView="0" workbookViewId="0" topLeftCell="A1">
      <selection activeCell="E5" activeCellId="1" sqref="H4 E5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8.00390625" style="0" customWidth="1"/>
  </cols>
  <sheetData>
    <row r="1" spans="1:5" s="28" customFormat="1" ht="21">
      <c r="A1" s="29" t="s">
        <v>251</v>
      </c>
      <c r="B1" s="30">
        <v>41827</v>
      </c>
      <c r="C1" s="31" t="s">
        <v>252</v>
      </c>
      <c r="D1" s="48">
        <v>34.69</v>
      </c>
      <c r="E1" s="28" t="s">
        <v>253</v>
      </c>
    </row>
    <row r="2" s="28" customFormat="1" ht="15">
      <c r="A2" s="46" t="s">
        <v>473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8" s="35" customFormat="1" ht="15">
      <c r="A4" s="15" t="s">
        <v>460</v>
      </c>
      <c r="B4" s="94">
        <v>31.86</v>
      </c>
      <c r="C4" s="95">
        <v>0.54</v>
      </c>
      <c r="D4" s="9">
        <f>C4/$C$6*$D$6</f>
        <v>3.375000000000001</v>
      </c>
      <c r="E4" s="9">
        <f>(B4+D4)*$D$1</f>
        <v>1222.30215</v>
      </c>
      <c r="F4" s="39">
        <f>1500-49</f>
        <v>1451</v>
      </c>
      <c r="G4" s="70">
        <f>-E4+F4</f>
        <v>228.69785000000002</v>
      </c>
      <c r="H4" s="53" t="s">
        <v>475</v>
      </c>
    </row>
    <row r="5" spans="1:7" s="35" customFormat="1" ht="15">
      <c r="A5" s="15" t="s">
        <v>350</v>
      </c>
      <c r="B5" s="94">
        <v>67.57</v>
      </c>
      <c r="C5" s="95">
        <v>0.42</v>
      </c>
      <c r="D5" s="9">
        <f>C5/$C$6*$D$6</f>
        <v>2.625</v>
      </c>
      <c r="E5" s="9">
        <f>(B5+D5)*$D$1</f>
        <v>2435.0645499999996</v>
      </c>
      <c r="F5" s="39">
        <v>5045</v>
      </c>
      <c r="G5" s="70">
        <f>-E5+F5</f>
        <v>2609.9354500000004</v>
      </c>
    </row>
    <row r="6" spans="1:7" s="43" customFormat="1" ht="15">
      <c r="A6" s="41"/>
      <c r="B6" s="41"/>
      <c r="C6" s="41">
        <f>SUM(C4:C5)</f>
        <v>0.96</v>
      </c>
      <c r="D6" s="41">
        <v>6</v>
      </c>
      <c r="E6" s="41"/>
      <c r="F6" s="41"/>
      <c r="G6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41835</v>
      </c>
      <c r="C1" s="31" t="s">
        <v>252</v>
      </c>
      <c r="D1" s="48">
        <v>34.97</v>
      </c>
      <c r="E1" s="28" t="s">
        <v>253</v>
      </c>
    </row>
    <row r="2" s="28" customFormat="1" ht="15">
      <c r="A2" s="46" t="s">
        <v>476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350</v>
      </c>
      <c r="B4" s="11">
        <v>59.74</v>
      </c>
      <c r="C4" s="40">
        <v>0.76</v>
      </c>
      <c r="D4" s="9">
        <f>C4/$C$6*$D$6</f>
        <v>3.3777777777777773</v>
      </c>
      <c r="E4" s="9">
        <f>(B4+D4)*$D$1</f>
        <v>2207.228688888889</v>
      </c>
      <c r="F4" s="39">
        <v>2127</v>
      </c>
      <c r="G4" s="70">
        <f>-E4+F4</f>
        <v>-80.22868888888888</v>
      </c>
    </row>
    <row r="5" spans="1:7" s="35" customFormat="1" ht="15">
      <c r="A5" s="9" t="s">
        <v>260</v>
      </c>
      <c r="B5" s="64">
        <v>35.04</v>
      </c>
      <c r="C5" s="64">
        <v>1.94</v>
      </c>
      <c r="D5" s="9">
        <f>C5/$C$6*$D$6</f>
        <v>8.622222222222222</v>
      </c>
      <c r="E5" s="51"/>
      <c r="F5" s="52"/>
      <c r="G5" s="71"/>
    </row>
    <row r="6" spans="1:7" s="43" customFormat="1" ht="15">
      <c r="A6" s="41"/>
      <c r="B6" s="41"/>
      <c r="C6" s="41">
        <f>SUM(C4:C5)</f>
        <v>2.7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41835</v>
      </c>
      <c r="C1" s="31" t="s">
        <v>252</v>
      </c>
      <c r="D1" s="48">
        <v>34.97</v>
      </c>
      <c r="E1" s="28" t="s">
        <v>253</v>
      </c>
    </row>
    <row r="2" s="28" customFormat="1" ht="15">
      <c r="A2" s="46" t="s">
        <v>476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9</v>
      </c>
      <c r="B4" s="94">
        <v>30.03</v>
      </c>
      <c r="C4" s="95">
        <v>0.3</v>
      </c>
      <c r="D4" s="9">
        <f>C4/$C$8*$D$8</f>
        <v>1.348314606741573</v>
      </c>
      <c r="E4" s="9">
        <f>(B4+D4)*$D$1</f>
        <v>1097.2996617977528</v>
      </c>
      <c r="F4" s="39">
        <v>1098</v>
      </c>
      <c r="G4" s="70">
        <f>-E4+F4</f>
        <v>0.7003382022471669</v>
      </c>
    </row>
    <row r="5" spans="1:7" s="35" customFormat="1" ht="15">
      <c r="A5" s="15" t="s">
        <v>25</v>
      </c>
      <c r="B5" s="94">
        <v>17.28</v>
      </c>
      <c r="C5" s="95">
        <v>0.58</v>
      </c>
      <c r="D5" s="9">
        <f>C5/$C$8*$D$8</f>
        <v>2.606741573033708</v>
      </c>
      <c r="E5" s="9">
        <f>(B5+D5)*$D$1</f>
        <v>695.4393528089888</v>
      </c>
      <c r="F5" s="39">
        <v>696</v>
      </c>
      <c r="G5" s="70">
        <f>-E5+F5</f>
        <v>0.560647191011185</v>
      </c>
    </row>
    <row r="6" spans="1:7" s="35" customFormat="1" ht="15">
      <c r="A6" s="15" t="s">
        <v>206</v>
      </c>
      <c r="B6" s="11">
        <v>17.98</v>
      </c>
      <c r="C6" s="40">
        <v>0.3</v>
      </c>
      <c r="D6" s="9">
        <f>C6/$C$8*$D$8</f>
        <v>1.348314606741573</v>
      </c>
      <c r="E6" s="9">
        <f>(B6+D6)*$D$1</f>
        <v>675.9111617977528</v>
      </c>
      <c r="F6" s="39">
        <v>682</v>
      </c>
      <c r="G6" s="70">
        <f>-E6+F6</f>
        <v>6.088838202247189</v>
      </c>
    </row>
    <row r="7" spans="1:7" s="35" customFormat="1" ht="15">
      <c r="A7" s="9" t="s">
        <v>260</v>
      </c>
      <c r="B7" s="64">
        <v>33.41</v>
      </c>
      <c r="C7" s="64">
        <v>1.49</v>
      </c>
      <c r="D7" s="9">
        <f>C7/$C$8*$D$8</f>
        <v>6.696629213483146</v>
      </c>
      <c r="E7" s="51"/>
      <c r="F7" s="52"/>
      <c r="G7" s="71"/>
    </row>
    <row r="8" spans="1:7" s="43" customFormat="1" ht="15">
      <c r="A8" s="41"/>
      <c r="B8" s="41"/>
      <c r="C8" s="41">
        <f>SUM(C4:C7)</f>
        <v>2.67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41229</v>
      </c>
      <c r="C1" s="31" t="s">
        <v>252</v>
      </c>
      <c r="D1" s="32">
        <v>31.72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274</v>
      </c>
      <c r="B4" s="9">
        <v>9.97</v>
      </c>
      <c r="C4" s="9">
        <v>0.19</v>
      </c>
      <c r="D4" s="9">
        <f>C4/$C$8*$D$8</f>
        <v>0.5181818181818181</v>
      </c>
      <c r="E4" s="9"/>
      <c r="F4" s="39"/>
      <c r="G4" s="39"/>
    </row>
    <row r="5" spans="1:7" s="35" customFormat="1" ht="15">
      <c r="A5" s="13" t="s">
        <v>264</v>
      </c>
      <c r="B5" s="9">
        <v>27.97</v>
      </c>
      <c r="C5" s="9">
        <v>1.35</v>
      </c>
      <c r="D5" s="9">
        <f>C5/$C$8*$D$8</f>
        <v>3.6818181818181817</v>
      </c>
      <c r="E5" s="9">
        <f>(B5+D5)*$D$1</f>
        <v>1003.9956727272726</v>
      </c>
      <c r="F5" s="39">
        <v>1013</v>
      </c>
      <c r="G5" s="39">
        <f>-E5+F5</f>
        <v>9.004327272727437</v>
      </c>
    </row>
    <row r="6" spans="1:7" ht="15">
      <c r="A6" s="11" t="s">
        <v>84</v>
      </c>
      <c r="B6" s="11">
        <v>30</v>
      </c>
      <c r="C6" s="11">
        <v>0.53</v>
      </c>
      <c r="D6" s="9">
        <f>C6/$C$8*$D$8</f>
        <v>1.4454545454545453</v>
      </c>
      <c r="E6" s="9">
        <f>(B6+D6)*$D$1</f>
        <v>997.4498181818182</v>
      </c>
      <c r="F6" s="11">
        <v>1007</v>
      </c>
      <c r="G6" s="39">
        <f>-E6+F6</f>
        <v>9.55018181818184</v>
      </c>
    </row>
    <row r="7" spans="1:7" ht="15">
      <c r="A7" s="11" t="s">
        <v>275</v>
      </c>
      <c r="B7" s="11">
        <v>8.49</v>
      </c>
      <c r="C7" s="11">
        <v>0.13</v>
      </c>
      <c r="D7" s="9">
        <f>C7/$C$8*$D$8</f>
        <v>0.35454545454545455</v>
      </c>
      <c r="E7" s="9">
        <f>(B7+D7)*$D$1</f>
        <v>280.54898181818186</v>
      </c>
      <c r="F7" s="11">
        <v>283</v>
      </c>
      <c r="G7" s="39">
        <f>-E7+F7</f>
        <v>2.4510181818181422</v>
      </c>
    </row>
    <row r="8" spans="1:7" ht="15">
      <c r="A8" s="41" t="s">
        <v>276</v>
      </c>
      <c r="B8" s="36"/>
      <c r="C8" s="41">
        <f>SUM(C4:C7)</f>
        <v>2.2</v>
      </c>
      <c r="D8" s="41">
        <v>6</v>
      </c>
      <c r="E8" s="36"/>
      <c r="F8" s="11"/>
      <c r="G8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="71" zoomScaleNormal="71" zoomScalePageLayoutView="0" workbookViewId="0" topLeftCell="A1">
      <selection activeCell="F6" sqref="F6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41841</v>
      </c>
      <c r="C1" s="31" t="s">
        <v>252</v>
      </c>
      <c r="D1" s="48">
        <v>35.41</v>
      </c>
      <c r="E1" s="28" t="s">
        <v>253</v>
      </c>
    </row>
    <row r="2" s="28" customFormat="1" ht="15">
      <c r="A2" s="46" t="s">
        <v>477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478</v>
      </c>
      <c r="B4" s="94">
        <v>11.14</v>
      </c>
      <c r="C4" s="95">
        <v>0.76</v>
      </c>
      <c r="D4" s="9">
        <f>C4/$C$8*$D$8</f>
        <v>3.365313653136532</v>
      </c>
      <c r="E4" s="9">
        <f>(B4+D4)*$D$1</f>
        <v>513.6331564575646</v>
      </c>
      <c r="F4" s="39">
        <v>514</v>
      </c>
      <c r="G4" s="70">
        <f>-E4+F4</f>
        <v>0.3668435424353902</v>
      </c>
    </row>
    <row r="5" spans="1:7" s="35" customFormat="1" ht="15">
      <c r="A5" s="15" t="s">
        <v>115</v>
      </c>
      <c r="B5" s="11">
        <v>8.46</v>
      </c>
      <c r="C5" s="11">
        <v>0.07</v>
      </c>
      <c r="D5" s="9">
        <f>C5/$C$8*$D$8</f>
        <v>0.30996309963099633</v>
      </c>
      <c r="E5" s="9">
        <f>(B5+D5)*$D$1</f>
        <v>310.5443933579336</v>
      </c>
      <c r="F5" s="39">
        <v>314</v>
      </c>
      <c r="G5" s="70">
        <f>-E5+F5</f>
        <v>3.4556066420664138</v>
      </c>
    </row>
    <row r="6" spans="1:7" s="35" customFormat="1" ht="15">
      <c r="A6" s="15" t="s">
        <v>143</v>
      </c>
      <c r="B6" s="11">
        <v>48.05</v>
      </c>
      <c r="C6" s="40">
        <v>0.76</v>
      </c>
      <c r="D6" s="9">
        <f>C6/$C$8*$D$8</f>
        <v>3.365313653136532</v>
      </c>
      <c r="E6" s="9">
        <f>(B6+D6)*$D$1</f>
        <v>1820.6162564575643</v>
      </c>
      <c r="F6" s="39">
        <v>1811</v>
      </c>
      <c r="G6" s="70">
        <f>-E6+F6</f>
        <v>-9.616256457564305</v>
      </c>
    </row>
    <row r="7" spans="1:7" s="35" customFormat="1" ht="15">
      <c r="A7" s="9" t="s">
        <v>260</v>
      </c>
      <c r="B7" s="64">
        <v>29.34</v>
      </c>
      <c r="C7" s="64">
        <v>1.12</v>
      </c>
      <c r="D7" s="9">
        <f>C7/$C$8*$D$8</f>
        <v>4.959409594095941</v>
      </c>
      <c r="E7" s="51"/>
      <c r="F7" s="52"/>
      <c r="G7" s="71"/>
    </row>
    <row r="8" spans="1:7" s="43" customFormat="1" ht="15">
      <c r="A8" s="41"/>
      <c r="B8" s="41"/>
      <c r="C8" s="41">
        <f>SUM(C4:C7)</f>
        <v>2.71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="71" zoomScaleNormal="71" zoomScalePageLayoutView="0" workbookViewId="0" topLeftCell="A1">
      <selection activeCell="A1" sqref="A1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41841</v>
      </c>
      <c r="C1" s="31" t="s">
        <v>252</v>
      </c>
      <c r="D1" s="48">
        <v>35.41</v>
      </c>
      <c r="E1" s="28" t="s">
        <v>253</v>
      </c>
    </row>
    <row r="2" s="28" customFormat="1" ht="15">
      <c r="A2" s="46" t="s">
        <v>477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31</v>
      </c>
      <c r="B4" s="94">
        <v>16.94</v>
      </c>
      <c r="C4" s="95">
        <v>0.531</v>
      </c>
      <c r="D4" s="9">
        <f>C4/$C$8*$D$8</f>
        <v>2.402714932126697</v>
      </c>
      <c r="E4" s="9">
        <f>(B4+D4)*$D$1</f>
        <v>684.9255357466062</v>
      </c>
      <c r="F4" s="39">
        <v>680</v>
      </c>
      <c r="G4" s="70">
        <f>-E4+F4</f>
        <v>-4.925535746606215</v>
      </c>
    </row>
    <row r="5" spans="1:7" s="35" customFormat="1" ht="15">
      <c r="A5" s="15" t="s">
        <v>39</v>
      </c>
      <c r="B5" s="11">
        <v>24.32</v>
      </c>
      <c r="C5" s="11">
        <v>0.521</v>
      </c>
      <c r="D5" s="9">
        <f>C5/$C$8*$D$8</f>
        <v>2.3574660633484164</v>
      </c>
      <c r="E5" s="9">
        <f>(B5+D5)*$D$1</f>
        <v>944.6490733031673</v>
      </c>
      <c r="F5" s="39">
        <v>956</v>
      </c>
      <c r="G5" s="70">
        <f>-E5+F5</f>
        <v>11.350926696832744</v>
      </c>
    </row>
    <row r="6" spans="1:7" s="35" customFormat="1" ht="15">
      <c r="A6" s="15" t="s">
        <v>162</v>
      </c>
      <c r="B6" s="11">
        <v>8.4</v>
      </c>
      <c r="C6" s="11">
        <v>0.05</v>
      </c>
      <c r="D6" s="9">
        <f>C6/$C$8*$D$8</f>
        <v>0.2262443438914027</v>
      </c>
      <c r="E6" s="9">
        <f>(B6+D6)*$D$1</f>
        <v>305.45531221719455</v>
      </c>
      <c r="F6" s="39">
        <v>309</v>
      </c>
      <c r="G6" s="70">
        <f>-E6+F6</f>
        <v>3.544687782805454</v>
      </c>
    </row>
    <row r="7" spans="1:7" s="35" customFormat="1" ht="15">
      <c r="A7" s="9" t="s">
        <v>260</v>
      </c>
      <c r="B7" s="64">
        <v>48.3</v>
      </c>
      <c r="C7" s="64">
        <v>1.55</v>
      </c>
      <c r="D7" s="9">
        <f>C7/$C$8*$D$8</f>
        <v>7.013574660633484</v>
      </c>
      <c r="E7" s="51"/>
      <c r="F7" s="52"/>
      <c r="G7" s="71"/>
    </row>
    <row r="8" spans="1:7" s="43" customFormat="1" ht="15">
      <c r="A8" s="41"/>
      <c r="B8" s="41"/>
      <c r="C8" s="41">
        <f>SUM(C4:C7)</f>
        <v>2.652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="71" zoomScaleNormal="71" zoomScalePageLayoutView="0" workbookViewId="0" topLeftCell="A1">
      <selection activeCell="A1" sqref="A1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41850</v>
      </c>
      <c r="C1" s="31" t="s">
        <v>252</v>
      </c>
      <c r="D1" s="48">
        <v>36.05</v>
      </c>
      <c r="E1" s="28" t="s">
        <v>253</v>
      </c>
    </row>
    <row r="2" s="28" customFormat="1" ht="15">
      <c r="A2" s="46" t="s">
        <v>479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96</v>
      </c>
      <c r="B4" s="94">
        <v>16.56</v>
      </c>
      <c r="C4" s="95">
        <v>0.3</v>
      </c>
      <c r="D4" s="9">
        <f>C4/$C$9*$D$9</f>
        <v>1.3382899628252787</v>
      </c>
      <c r="E4" s="9">
        <f>(B4+D4)*$D$1</f>
        <v>645.2333531598512</v>
      </c>
      <c r="F4" s="39">
        <v>634</v>
      </c>
      <c r="G4" s="70">
        <f>-E4+F4</f>
        <v>-11.233353159851163</v>
      </c>
    </row>
    <row r="5" spans="1:7" s="35" customFormat="1" ht="15">
      <c r="A5" s="15" t="s">
        <v>266</v>
      </c>
      <c r="B5" s="11">
        <v>15.39</v>
      </c>
      <c r="C5" s="11">
        <v>0.16</v>
      </c>
      <c r="D5" s="9">
        <f>C5/$C$9*$D$9</f>
        <v>0.7137546468401488</v>
      </c>
      <c r="E5" s="9">
        <f>(B5+D5)*$D$1</f>
        <v>580.5403550185873</v>
      </c>
      <c r="F5" s="39">
        <v>570</v>
      </c>
      <c r="G5" s="70">
        <f>-E5+F5</f>
        <v>-10.54035501858732</v>
      </c>
    </row>
    <row r="6" spans="1:7" s="35" customFormat="1" ht="15">
      <c r="A6" s="15" t="s">
        <v>107</v>
      </c>
      <c r="B6" s="11">
        <v>5.38</v>
      </c>
      <c r="C6" s="11">
        <v>0.08</v>
      </c>
      <c r="D6" s="9">
        <f>C6/$C$9*$D$9</f>
        <v>0.3568773234200744</v>
      </c>
      <c r="E6" s="9">
        <f>(B6+D6)*$D$1</f>
        <v>206.81442750929367</v>
      </c>
      <c r="F6" s="39">
        <v>203</v>
      </c>
      <c r="G6" s="70">
        <f>-E6+F6</f>
        <v>-3.8144275092936653</v>
      </c>
    </row>
    <row r="7" spans="1:7" s="35" customFormat="1" ht="15">
      <c r="A7" s="15" t="s">
        <v>119</v>
      </c>
      <c r="B7" s="11">
        <v>10.75</v>
      </c>
      <c r="C7" s="11">
        <v>0.86</v>
      </c>
      <c r="D7" s="9">
        <f>C7/$C$9*$D$9</f>
        <v>3.836431226765799</v>
      </c>
      <c r="E7" s="9">
        <f>(B7+D7)*$D$1</f>
        <v>525.840845724907</v>
      </c>
      <c r="F7" s="39">
        <v>517</v>
      </c>
      <c r="G7" s="70">
        <f>-E7+F7</f>
        <v>-8.840845724907012</v>
      </c>
    </row>
    <row r="8" spans="1:7" s="35" customFormat="1" ht="15">
      <c r="A8" s="9" t="s">
        <v>260</v>
      </c>
      <c r="B8" s="64">
        <v>24.51</v>
      </c>
      <c r="C8" s="64">
        <v>1.29</v>
      </c>
      <c r="D8" s="9">
        <f>C8/$C$9*$D$9</f>
        <v>5.754646840148699</v>
      </c>
      <c r="E8" s="51"/>
      <c r="F8" s="52"/>
      <c r="G8" s="71"/>
    </row>
    <row r="9" spans="1:7" s="43" customFormat="1" ht="15">
      <c r="A9" s="41"/>
      <c r="B9" s="41"/>
      <c r="C9" s="41">
        <f>SUM(C4:C8)</f>
        <v>2.69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="71" zoomScaleNormal="71" zoomScalePageLayoutView="0" workbookViewId="0" topLeftCell="A1">
      <selection activeCell="A1" sqref="A1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41850</v>
      </c>
      <c r="C1" s="31" t="s">
        <v>252</v>
      </c>
      <c r="D1" s="48">
        <v>36.05</v>
      </c>
      <c r="E1" s="28" t="s">
        <v>253</v>
      </c>
    </row>
    <row r="2" s="28" customFormat="1" ht="15">
      <c r="A2" s="46" t="s">
        <v>479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163</v>
      </c>
      <c r="B4" s="94">
        <v>5.39</v>
      </c>
      <c r="C4" s="95">
        <v>0.62</v>
      </c>
      <c r="D4" s="9">
        <f>C4/$C$8*$D$8</f>
        <v>2.776119402985074</v>
      </c>
      <c r="E4" s="9">
        <f>(B4+D4)*$D$1</f>
        <v>294.3886044776119</v>
      </c>
      <c r="F4" s="39">
        <v>289</v>
      </c>
      <c r="G4" s="70">
        <f>-E4+F4</f>
        <v>-5.388604477611921</v>
      </c>
    </row>
    <row r="5" spans="1:7" s="35" customFormat="1" ht="15">
      <c r="A5" s="15" t="s">
        <v>110</v>
      </c>
      <c r="B5" s="11">
        <v>5.39</v>
      </c>
      <c r="C5" s="11">
        <v>0.62</v>
      </c>
      <c r="D5" s="9">
        <f>C5/$C$8*$D$8</f>
        <v>2.776119402985074</v>
      </c>
      <c r="E5" s="9">
        <f>(B5+D5)*$D$1</f>
        <v>294.3886044776119</v>
      </c>
      <c r="F5" s="39">
        <v>289</v>
      </c>
      <c r="G5" s="70">
        <f>-E5+F5</f>
        <v>-5.388604477611921</v>
      </c>
    </row>
    <row r="6" spans="1:7" s="35" customFormat="1" ht="15">
      <c r="A6" s="15" t="s">
        <v>56</v>
      </c>
      <c r="B6" s="11">
        <v>14.850000000000001</v>
      </c>
      <c r="C6" s="11">
        <v>0.5700000000000001</v>
      </c>
      <c r="D6" s="9">
        <f>C6/$C$8*$D$8</f>
        <v>2.5522388059701493</v>
      </c>
      <c r="E6" s="9">
        <f>(B6+D6)*$D$1</f>
        <v>627.3507089552238</v>
      </c>
      <c r="F6" s="39">
        <v>616</v>
      </c>
      <c r="G6" s="70">
        <f>-E6+F6</f>
        <v>-11.350708955223809</v>
      </c>
    </row>
    <row r="7" spans="1:7" s="35" customFormat="1" ht="15">
      <c r="A7" s="9" t="s">
        <v>260</v>
      </c>
      <c r="B7" s="64">
        <v>53.56</v>
      </c>
      <c r="C7" s="64">
        <v>0.87</v>
      </c>
      <c r="D7" s="9">
        <f>C7/$C$8*$D$8</f>
        <v>3.8955223880597014</v>
      </c>
      <c r="E7" s="51"/>
      <c r="F7" s="52"/>
      <c r="G7" s="71"/>
    </row>
    <row r="8" spans="1:7" s="43" customFormat="1" ht="15">
      <c r="A8" s="41"/>
      <c r="B8" s="41"/>
      <c r="C8" s="41">
        <f>SUM(C4:C7)</f>
        <v>2.68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="71" zoomScaleNormal="71" zoomScalePageLayoutView="0" workbookViewId="0" topLeftCell="A1">
      <selection activeCell="A12" sqref="A12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41859</v>
      </c>
      <c r="C1" s="31" t="s">
        <v>252</v>
      </c>
      <c r="D1" s="48">
        <v>37.07</v>
      </c>
      <c r="E1" s="28" t="s">
        <v>253</v>
      </c>
    </row>
    <row r="2" s="28" customFormat="1" ht="15">
      <c r="A2" s="46" t="s">
        <v>480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96</v>
      </c>
      <c r="B4" s="94">
        <v>24.21</v>
      </c>
      <c r="C4" s="95">
        <v>0.14</v>
      </c>
      <c r="D4" s="9">
        <f>C4/$C$9*$D$9</f>
        <v>0.6199261992619927</v>
      </c>
      <c r="E4" s="9">
        <f>(B4+D4)*$D$1</f>
        <v>920.4453642066421</v>
      </c>
      <c r="F4" s="39">
        <v>923</v>
      </c>
      <c r="G4" s="70">
        <f>-E4+F4</f>
        <v>2.5546357933578747</v>
      </c>
    </row>
    <row r="5" spans="1:7" s="35" customFormat="1" ht="15">
      <c r="A5" s="15" t="s">
        <v>481</v>
      </c>
      <c r="B5" s="11">
        <v>9.6</v>
      </c>
      <c r="C5" s="11">
        <v>0.11</v>
      </c>
      <c r="D5" s="9">
        <f>C5/$C$9*$D$9</f>
        <v>0.48708487084870844</v>
      </c>
      <c r="E5" s="9">
        <f>(B5+D5)*$D$1</f>
        <v>373.9282361623616</v>
      </c>
      <c r="F5" s="39">
        <v>375</v>
      </c>
      <c r="G5" s="70">
        <f>-E5+F5</f>
        <v>1.0717638376384002</v>
      </c>
    </row>
    <row r="6" spans="1:7" s="35" customFormat="1" ht="15">
      <c r="A6" s="9" t="s">
        <v>26</v>
      </c>
      <c r="B6" s="11">
        <v>8.45</v>
      </c>
      <c r="C6" s="11">
        <v>0.54</v>
      </c>
      <c r="D6" s="9">
        <f>C6/$C$9*$D$9</f>
        <v>2.391143911439115</v>
      </c>
      <c r="E6" s="9">
        <f>(B6+D6)*$D$1</f>
        <v>401.881204797048</v>
      </c>
      <c r="F6" s="39">
        <v>403</v>
      </c>
      <c r="G6" s="70">
        <f>-E6+F6</f>
        <v>1.1187952029520147</v>
      </c>
    </row>
    <row r="7" spans="1:7" s="35" customFormat="1" ht="15">
      <c r="A7" s="9" t="s">
        <v>56</v>
      </c>
      <c r="B7" s="64">
        <v>31.88</v>
      </c>
      <c r="C7" s="64">
        <v>0.2</v>
      </c>
      <c r="D7" s="9">
        <f>C7/$C$9*$D$9</f>
        <v>0.8856088560885609</v>
      </c>
      <c r="E7" s="9">
        <f>(B7+D7)*$D$1</f>
        <v>1214.621120295203</v>
      </c>
      <c r="F7" s="39">
        <v>1227</v>
      </c>
      <c r="G7" s="70">
        <f>-E7+F7</f>
        <v>12.3788797047971</v>
      </c>
    </row>
    <row r="8" spans="1:7" s="35" customFormat="1" ht="15">
      <c r="A8" s="9" t="s">
        <v>260</v>
      </c>
      <c r="B8" s="64">
        <v>19.25</v>
      </c>
      <c r="C8" s="64">
        <v>1.72</v>
      </c>
      <c r="D8" s="9">
        <f>C8/$C$9*$D$9</f>
        <v>7.6162361623616235</v>
      </c>
      <c r="E8" s="51"/>
      <c r="F8" s="52"/>
      <c r="G8" s="71"/>
    </row>
    <row r="9" spans="1:7" s="43" customFormat="1" ht="15">
      <c r="A9" s="41"/>
      <c r="B9" s="41"/>
      <c r="C9" s="41">
        <f>SUM(C4:C8)</f>
        <v>2.71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="71" zoomScaleNormal="71" zoomScalePageLayoutView="0" workbookViewId="0" topLeftCell="A1">
      <selection activeCell="F5" sqref="F5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41859</v>
      </c>
      <c r="C1" s="31" t="s">
        <v>252</v>
      </c>
      <c r="D1" s="48">
        <v>37.07</v>
      </c>
      <c r="E1" s="28" t="s">
        <v>253</v>
      </c>
    </row>
    <row r="2" s="28" customFormat="1" ht="15">
      <c r="A2" s="46" t="s">
        <v>480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143</v>
      </c>
      <c r="B4" s="94">
        <v>38.21</v>
      </c>
      <c r="C4" s="95">
        <v>0.73</v>
      </c>
      <c r="D4" s="9">
        <f>C4/$C$6*$D$6</f>
        <v>3.268656716417911</v>
      </c>
      <c r="E4" s="9">
        <f>(B4+D4)*$D$1</f>
        <v>1537.613804477612</v>
      </c>
      <c r="F4" s="39">
        <v>1530</v>
      </c>
      <c r="G4" s="70">
        <f>-E4+F4</f>
        <v>-7.613804477611893</v>
      </c>
    </row>
    <row r="5" spans="1:7" s="35" customFormat="1" ht="15">
      <c r="A5" s="9" t="s">
        <v>260</v>
      </c>
      <c r="B5" s="64">
        <v>55.11</v>
      </c>
      <c r="C5" s="64">
        <v>1.95</v>
      </c>
      <c r="D5" s="9">
        <f>C5/$C$6*$D$6</f>
        <v>8.73134328358209</v>
      </c>
      <c r="E5" s="51"/>
      <c r="F5" s="52"/>
      <c r="G5" s="71"/>
    </row>
    <row r="6" spans="1:7" s="43" customFormat="1" ht="15">
      <c r="A6" s="41"/>
      <c r="B6" s="41"/>
      <c r="C6" s="41">
        <f>SUM(C4:C5)</f>
        <v>2.6799999999999997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="71" zoomScaleNormal="71" zoomScalePageLayoutView="0" workbookViewId="0" topLeftCell="A1">
      <selection activeCell="H9" sqref="H9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18.140625" style="0" customWidth="1"/>
  </cols>
  <sheetData>
    <row r="1" spans="1:5" s="28" customFormat="1" ht="21">
      <c r="A1" s="29" t="s">
        <v>251</v>
      </c>
      <c r="B1" s="30">
        <v>41865</v>
      </c>
      <c r="C1" s="31" t="s">
        <v>252</v>
      </c>
      <c r="D1" s="48">
        <v>36.62</v>
      </c>
      <c r="E1" s="28" t="s">
        <v>253</v>
      </c>
    </row>
    <row r="2" s="28" customFormat="1" ht="15">
      <c r="A2" s="46" t="s">
        <v>482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224</v>
      </c>
      <c r="B4" s="94">
        <v>1.99</v>
      </c>
      <c r="C4" s="95">
        <v>0.03</v>
      </c>
      <c r="D4" s="9">
        <f>C4/$C$9*$D$9</f>
        <v>0.13899613899613897</v>
      </c>
      <c r="E4" s="9">
        <f>(B4+D4)*$D$1</f>
        <v>77.96383861003861</v>
      </c>
      <c r="F4" s="39">
        <v>75</v>
      </c>
      <c r="G4" s="70">
        <f>-E4+F4</f>
        <v>-2.963838610038607</v>
      </c>
    </row>
    <row r="5" spans="1:7" s="35" customFormat="1" ht="15">
      <c r="A5" s="15" t="s">
        <v>46</v>
      </c>
      <c r="B5" s="11">
        <v>10.18</v>
      </c>
      <c r="C5" s="11">
        <v>0.4</v>
      </c>
      <c r="D5" s="9">
        <f>C5/$C$9*$D$9</f>
        <v>1.8532818532818531</v>
      </c>
      <c r="E5" s="9">
        <f>(B5+D5)*$D$1</f>
        <v>440.6587814671814</v>
      </c>
      <c r="F5" s="39">
        <v>442</v>
      </c>
      <c r="G5" s="70">
        <f>-E5+F5</f>
        <v>1.3412185328185728</v>
      </c>
    </row>
    <row r="6" spans="1:7" s="35" customFormat="1" ht="15">
      <c r="A6" s="15" t="s">
        <v>82</v>
      </c>
      <c r="B6" s="94">
        <v>22.51</v>
      </c>
      <c r="C6" s="95">
        <v>1.35</v>
      </c>
      <c r="D6" s="9">
        <f>C6/$C$9*$D$9</f>
        <v>6.254826254826254</v>
      </c>
      <c r="E6" s="9">
        <f>(B6+D6)*$D$1</f>
        <v>1053.3679374517374</v>
      </c>
      <c r="F6" s="39">
        <v>1061</v>
      </c>
      <c r="G6" s="70">
        <f>-E6+F6</f>
        <v>7.632062548262638</v>
      </c>
    </row>
    <row r="7" spans="1:7" s="35" customFormat="1" ht="15">
      <c r="A7" s="15" t="s">
        <v>7</v>
      </c>
      <c r="B7" s="11">
        <v>26.24</v>
      </c>
      <c r="C7" s="11">
        <v>0.46</v>
      </c>
      <c r="D7" s="9">
        <f>C7/$C$9*$D$9</f>
        <v>2.131274131274131</v>
      </c>
      <c r="E7" s="9">
        <f>(B7+D7)*$D$1</f>
        <v>1038.9560586872585</v>
      </c>
      <c r="F7" s="39">
        <v>1043</v>
      </c>
      <c r="G7" s="70">
        <f>-E7+F7</f>
        <v>4.043941312741481</v>
      </c>
    </row>
    <row r="8" spans="1:8" s="35" customFormat="1" ht="30">
      <c r="A8" s="9" t="s">
        <v>483</v>
      </c>
      <c r="B8" s="11">
        <v>29.4</v>
      </c>
      <c r="C8" s="11">
        <v>0.35</v>
      </c>
      <c r="D8" s="9">
        <f>C8/$C$9*$D$9</f>
        <v>1.6216216216216215</v>
      </c>
      <c r="E8" s="9">
        <f>(B8+D8)*$D$1</f>
        <v>1136.0117837837836</v>
      </c>
      <c r="F8" s="39">
        <f>1140-4</f>
        <v>1136</v>
      </c>
      <c r="G8" s="70">
        <f>-E8+F8</f>
        <v>-0.011783783783585022</v>
      </c>
      <c r="H8" s="35" t="s">
        <v>546</v>
      </c>
    </row>
    <row r="9" spans="1:7" s="43" customFormat="1" ht="15">
      <c r="A9" s="41"/>
      <c r="B9" s="41"/>
      <c r="C9" s="41">
        <f>SUM(C4:C8)</f>
        <v>2.5900000000000003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="71" zoomScaleNormal="71" zoomScalePageLayoutView="0" workbookViewId="0" topLeftCell="A1">
      <selection activeCell="A19" sqref="A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27.28125" style="0" customWidth="1"/>
  </cols>
  <sheetData>
    <row r="1" spans="1:5" s="28" customFormat="1" ht="21">
      <c r="A1" s="29" t="s">
        <v>251</v>
      </c>
      <c r="B1" s="30">
        <v>41865</v>
      </c>
      <c r="C1" s="31" t="s">
        <v>252</v>
      </c>
      <c r="D1" s="48">
        <v>36.62</v>
      </c>
      <c r="E1" s="28" t="s">
        <v>253</v>
      </c>
    </row>
    <row r="2" s="28" customFormat="1" ht="15">
      <c r="A2" s="46" t="s">
        <v>482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29</v>
      </c>
      <c r="B4" s="94">
        <v>14.99</v>
      </c>
      <c r="C4" s="95">
        <v>0.19</v>
      </c>
      <c r="D4" s="9">
        <f>C4/$C$8*$D$8</f>
        <v>0.8475836431226766</v>
      </c>
      <c r="E4" s="9">
        <f>(B4+D4)*$D$1</f>
        <v>579.9723130111524</v>
      </c>
      <c r="F4" s="39">
        <v>582</v>
      </c>
      <c r="G4" s="70">
        <f>-E4+F4</f>
        <v>2.027686988847563</v>
      </c>
    </row>
    <row r="5" spans="1:8" s="35" customFormat="1" ht="30">
      <c r="A5" s="15" t="s">
        <v>246</v>
      </c>
      <c r="B5" s="11">
        <v>49.19</v>
      </c>
      <c r="C5" s="11">
        <v>0.92</v>
      </c>
      <c r="D5" s="9">
        <f>C5/$C$8*$D$8</f>
        <v>4.104089219330856</v>
      </c>
      <c r="E5" s="9">
        <f>(B5+D5)*$D$1</f>
        <v>1951.629547211896</v>
      </c>
      <c r="F5" s="39">
        <f>1960-8</f>
        <v>1952</v>
      </c>
      <c r="G5" s="70">
        <f>-E5+F5</f>
        <v>0.3704527881041031</v>
      </c>
      <c r="H5" s="35" t="s">
        <v>492</v>
      </c>
    </row>
    <row r="6" spans="1:7" s="35" customFormat="1" ht="15">
      <c r="A6" s="9" t="s">
        <v>52</v>
      </c>
      <c r="B6" s="11">
        <v>4.95</v>
      </c>
      <c r="C6" s="11">
        <v>0.19</v>
      </c>
      <c r="D6" s="9">
        <f>C6/$C$8*$D$8</f>
        <v>0.8475836431226766</v>
      </c>
      <c r="E6" s="9">
        <f>(B6+D6)*$D$1</f>
        <v>212.3075130111524</v>
      </c>
      <c r="F6" s="39">
        <v>213</v>
      </c>
      <c r="G6" s="70">
        <f>-E6+F6</f>
        <v>0.6924869888476053</v>
      </c>
    </row>
    <row r="7" spans="1:7" s="35" customFormat="1" ht="15">
      <c r="A7" s="9" t="s">
        <v>260</v>
      </c>
      <c r="B7" s="64">
        <v>38.15</v>
      </c>
      <c r="C7" s="64">
        <v>1.39</v>
      </c>
      <c r="D7" s="9">
        <f>C7/$C$8*$D$8</f>
        <v>6.200743494423792</v>
      </c>
      <c r="E7" s="51"/>
      <c r="F7" s="52"/>
      <c r="G7" s="71"/>
    </row>
    <row r="8" spans="1:7" s="43" customFormat="1" ht="15">
      <c r="A8" s="41"/>
      <c r="B8" s="41"/>
      <c r="C8" s="41">
        <f>SUM(C4:C7)</f>
        <v>2.69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="71" zoomScaleNormal="71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41876</v>
      </c>
      <c r="C1" s="31" t="s">
        <v>252</v>
      </c>
      <c r="D1" s="48">
        <v>36.75</v>
      </c>
      <c r="E1" s="28" t="s">
        <v>253</v>
      </c>
    </row>
    <row r="2" s="28" customFormat="1" ht="15">
      <c r="A2" s="46" t="s">
        <v>484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46</v>
      </c>
      <c r="B4" s="94">
        <v>6.9</v>
      </c>
      <c r="C4" s="95">
        <v>0.46</v>
      </c>
      <c r="D4" s="9">
        <f>C4/$C$8*$D$8</f>
        <v>2.067415730337079</v>
      </c>
      <c r="E4" s="9">
        <f>(B4+D4)*$D$1</f>
        <v>329.55252808988763</v>
      </c>
      <c r="F4" s="39">
        <v>328</v>
      </c>
      <c r="G4" s="70">
        <f>-E4+F4</f>
        <v>-1.5525280898876304</v>
      </c>
    </row>
    <row r="5" spans="1:7" s="35" customFormat="1" ht="15">
      <c r="A5" s="15" t="s">
        <v>25</v>
      </c>
      <c r="B5" s="11">
        <v>19.1</v>
      </c>
      <c r="C5" s="11">
        <v>0.54</v>
      </c>
      <c r="D5" s="9">
        <f>C5/$C$8*$D$8</f>
        <v>2.4269662921348316</v>
      </c>
      <c r="E5" s="9">
        <f>(B5+D5)*$D$1</f>
        <v>791.1160112359552</v>
      </c>
      <c r="F5" s="39">
        <v>780</v>
      </c>
      <c r="G5" s="70">
        <f>-E5+F5</f>
        <v>-11.11601123595517</v>
      </c>
    </row>
    <row r="6" spans="1:7" s="35" customFormat="1" ht="15">
      <c r="A6" s="9" t="s">
        <v>268</v>
      </c>
      <c r="B6" s="11">
        <v>4.84</v>
      </c>
      <c r="C6" s="11">
        <v>0.32</v>
      </c>
      <c r="D6" s="9">
        <f>C6/$C$8*$D$8</f>
        <v>1.4382022471910112</v>
      </c>
      <c r="E6" s="9">
        <f>(B6+D6)*$D$1</f>
        <v>230.72393258426965</v>
      </c>
      <c r="F6" s="39">
        <v>234</v>
      </c>
      <c r="G6" s="70">
        <f>-E6+F6</f>
        <v>3.2760674157303526</v>
      </c>
    </row>
    <row r="7" spans="1:7" s="35" customFormat="1" ht="15">
      <c r="A7" s="9" t="s">
        <v>260</v>
      </c>
      <c r="B7" s="64">
        <v>30.57</v>
      </c>
      <c r="C7" s="64">
        <v>1.35</v>
      </c>
      <c r="D7" s="9">
        <f>C7/$C$8*$D$8</f>
        <v>6.067415730337078</v>
      </c>
      <c r="E7" s="51"/>
      <c r="F7" s="52"/>
      <c r="G7" s="71"/>
    </row>
    <row r="8" spans="1:7" s="43" customFormat="1" ht="15">
      <c r="A8" s="41"/>
      <c r="B8" s="41"/>
      <c r="C8" s="41">
        <f>SUM(C4:C7)</f>
        <v>2.67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  <row r="12" spans="1:6" ht="15">
      <c r="A12" s="96" t="s">
        <v>485</v>
      </c>
      <c r="B12" s="97"/>
      <c r="C12" s="97"/>
      <c r="D12" s="97"/>
      <c r="E12" s="97"/>
      <c r="F12" s="97"/>
    </row>
    <row r="13" ht="15">
      <c r="A13" s="15" t="s">
        <v>25</v>
      </c>
    </row>
    <row r="14" ht="15">
      <c r="A14" s="98" t="s">
        <v>486</v>
      </c>
    </row>
    <row r="15" ht="15">
      <c r="A15" s="98" t="s">
        <v>487</v>
      </c>
    </row>
  </sheetData>
  <sheetProtection selectLockedCells="1" selectUnlockedCells="1"/>
  <hyperlinks>
    <hyperlink ref="A14" r:id="rId1" display="http://www.iherb.com/California-Gold-Nutrition-Daily-Vits-Mins-30-Tablets/57116 "/>
    <hyperlink ref="A15" r:id="rId2" display="http://www.iherb.com/Source-Naturals-Skin-Eternal-Cream-2-oz-56-7-g/22378 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="71" zoomScaleNormal="71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41876</v>
      </c>
      <c r="C1" s="31" t="s">
        <v>252</v>
      </c>
      <c r="D1" s="48">
        <v>36.75</v>
      </c>
      <c r="E1" s="28" t="s">
        <v>253</v>
      </c>
    </row>
    <row r="2" s="28" customFormat="1" ht="15">
      <c r="A2" s="46" t="s">
        <v>484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156</v>
      </c>
      <c r="B4" s="94">
        <v>71.39</v>
      </c>
      <c r="C4" s="95">
        <v>1.12</v>
      </c>
      <c r="D4" s="9">
        <f>C4/$C$6*$D$6</f>
        <v>5.333333333333334</v>
      </c>
      <c r="E4" s="9">
        <f>(B4+D4)*$D$1</f>
        <v>2819.5825</v>
      </c>
      <c r="F4" s="39">
        <f>100+2000</f>
        <v>2100</v>
      </c>
      <c r="G4" s="70">
        <f>-E4+F4</f>
        <v>-719.5825</v>
      </c>
    </row>
    <row r="5" spans="1:7" s="35" customFormat="1" ht="15">
      <c r="A5" s="15" t="s">
        <v>117</v>
      </c>
      <c r="B5" s="11">
        <v>29.85</v>
      </c>
      <c r="C5" s="11">
        <v>1.4</v>
      </c>
      <c r="D5" s="9">
        <f>C5/$C$6*$D$6</f>
        <v>6.666666666666666</v>
      </c>
      <c r="E5" s="9">
        <f>(B5+D5)*$D$1</f>
        <v>1341.9875</v>
      </c>
      <c r="F5" s="39">
        <v>1337</v>
      </c>
      <c r="G5" s="70">
        <f>-E5+F5</f>
        <v>-4.9874999999999545</v>
      </c>
    </row>
    <row r="6" spans="1:7" s="43" customFormat="1" ht="15">
      <c r="A6" s="41"/>
      <c r="B6" s="41"/>
      <c r="C6" s="41">
        <f>SUM(C4:C5)</f>
        <v>2.52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  <row r="10" spans="1:6" ht="15">
      <c r="A10" s="96" t="s">
        <v>485</v>
      </c>
      <c r="B10" s="97"/>
      <c r="C10" s="97"/>
      <c r="D10" s="97"/>
      <c r="E10" s="97"/>
      <c r="F10" s="97"/>
    </row>
    <row r="11" ht="15">
      <c r="A11" s="15" t="s">
        <v>156</v>
      </c>
    </row>
    <row r="12" ht="15">
      <c r="A12" s="98" t="s">
        <v>488</v>
      </c>
    </row>
  </sheetData>
  <sheetProtection selectLockedCells="1" selectUnlockedCells="1"/>
  <hyperlinks>
    <hyperlink ref="A12" r:id="rId1" display="4. http://www.iherb.com/iHerb-Promotional-Materials-Day-Night-Pill-Organizer/57481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41232</v>
      </c>
      <c r="C1" s="31" t="s">
        <v>252</v>
      </c>
      <c r="D1" s="32">
        <v>31.422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216</v>
      </c>
      <c r="B4" s="9">
        <v>57.1</v>
      </c>
      <c r="C4" s="9">
        <v>2.04</v>
      </c>
      <c r="D4" s="9">
        <f>C4/$C$8*$D$8</f>
        <v>5.3283582089552235</v>
      </c>
      <c r="E4" s="9">
        <f>(B4+D4)*$D$1</f>
        <v>1961.623871641791</v>
      </c>
      <c r="F4" s="39">
        <v>2230</v>
      </c>
      <c r="G4" s="39">
        <f>-E4+F4</f>
        <v>268.3761283582089</v>
      </c>
    </row>
    <row r="5" spans="1:7" s="35" customFormat="1" ht="15">
      <c r="A5" s="13" t="s">
        <v>247</v>
      </c>
      <c r="B5" s="9">
        <v>5.04</v>
      </c>
      <c r="C5" s="9">
        <v>0.16</v>
      </c>
      <c r="D5" s="9">
        <f>C5/$C$8*$D$8</f>
        <v>0.417910447761194</v>
      </c>
      <c r="E5" s="9">
        <f>(B5+D5)*$D$1</f>
        <v>171.49846208955225</v>
      </c>
      <c r="F5" s="39">
        <v>170</v>
      </c>
      <c r="G5" s="39">
        <f>-E5+F5</f>
        <v>-1.4984620895522482</v>
      </c>
    </row>
    <row r="6" spans="1:7" ht="15">
      <c r="A6" s="11" t="s">
        <v>233</v>
      </c>
      <c r="B6" s="11">
        <v>8.6</v>
      </c>
      <c r="C6" s="11">
        <v>0.37</v>
      </c>
      <c r="D6" s="9">
        <f>C6/$C$8*$D$8</f>
        <v>0.966417910447761</v>
      </c>
      <c r="E6" s="9">
        <f>(B6+D6)*$D$1</f>
        <v>300.59598358208956</v>
      </c>
      <c r="F6" s="11">
        <v>306</v>
      </c>
      <c r="G6" s="39">
        <f>-E6+F6</f>
        <v>5.404016417910441</v>
      </c>
    </row>
    <row r="7" spans="1:7" ht="15">
      <c r="A7" s="11" t="s">
        <v>260</v>
      </c>
      <c r="B7" s="11">
        <v>10.83</v>
      </c>
      <c r="C7" s="11">
        <v>0.11</v>
      </c>
      <c r="D7" s="9">
        <f>C7/$C$8*$D$8</f>
        <v>0.2873134328358209</v>
      </c>
      <c r="E7" s="9">
        <f>(B7+D7)*$D$1</f>
        <v>349.3282226865672</v>
      </c>
      <c r="F7" s="11"/>
      <c r="G7" s="39"/>
    </row>
    <row r="8" spans="1:7" ht="15">
      <c r="A8" s="41" t="s">
        <v>276</v>
      </c>
      <c r="B8" s="36"/>
      <c r="C8" s="41">
        <f>SUM(C4:C7)</f>
        <v>2.68</v>
      </c>
      <c r="D8" s="41">
        <v>7</v>
      </c>
      <c r="E8" s="36"/>
      <c r="F8" s="11"/>
      <c r="G8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="71" zoomScaleNormal="71" zoomScalePageLayoutView="0" workbookViewId="0" topLeftCell="A1">
      <selection activeCell="F32" sqref="F3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41876</v>
      </c>
      <c r="C1" s="31" t="s">
        <v>252</v>
      </c>
      <c r="D1" s="48">
        <v>36.75</v>
      </c>
      <c r="E1" s="28" t="s">
        <v>253</v>
      </c>
    </row>
    <row r="2" s="28" customFormat="1" ht="15">
      <c r="A2" s="46" t="s">
        <v>484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51</v>
      </c>
      <c r="B4" s="94">
        <v>12.19</v>
      </c>
      <c r="C4" s="95">
        <v>0.64</v>
      </c>
      <c r="D4" s="9">
        <f>C4/$C$9*$D$9</f>
        <v>2.865671641791045</v>
      </c>
      <c r="E4" s="9">
        <f>(B4+D4)*$D$1</f>
        <v>553.2959328358208</v>
      </c>
      <c r="F4" s="39">
        <v>551</v>
      </c>
      <c r="G4" s="70">
        <f>-E4+F4</f>
        <v>-2.2959328358208495</v>
      </c>
    </row>
    <row r="5" spans="1:7" s="35" customFormat="1" ht="15">
      <c r="A5" s="15" t="s">
        <v>127</v>
      </c>
      <c r="B5" s="94">
        <v>27.75</v>
      </c>
      <c r="C5" s="95">
        <v>1.34</v>
      </c>
      <c r="D5" s="9">
        <f>C5/$C$9*$D$9</f>
        <v>6.000000000000002</v>
      </c>
      <c r="E5" s="9">
        <f>(B5+D5)*$D$1</f>
        <v>1240.3125</v>
      </c>
      <c r="F5" s="39">
        <v>1236</v>
      </c>
      <c r="G5" s="70">
        <f>-E5+F5</f>
        <v>-4.3125</v>
      </c>
    </row>
    <row r="6" spans="1:7" s="35" customFormat="1" ht="15">
      <c r="A6" s="15" t="s">
        <v>186</v>
      </c>
      <c r="B6" s="11">
        <v>21.4</v>
      </c>
      <c r="C6" s="11">
        <v>0.24</v>
      </c>
      <c r="D6" s="9">
        <f>C6/$C$9*$D$9</f>
        <v>1.0746268656716418</v>
      </c>
      <c r="E6" s="9">
        <f>(B6+D6)*$D$1</f>
        <v>825.9425373134328</v>
      </c>
      <c r="F6" s="39">
        <v>823</v>
      </c>
      <c r="G6" s="70">
        <f>-E6+F6</f>
        <v>-2.9425373134328083</v>
      </c>
    </row>
    <row r="7" spans="1:7" s="35" customFormat="1" ht="15">
      <c r="A7" s="9" t="s">
        <v>56</v>
      </c>
      <c r="B7" s="11">
        <v>21.41</v>
      </c>
      <c r="C7" s="11">
        <v>0.35</v>
      </c>
      <c r="D7" s="9">
        <f>C7/$C$9*$D$9</f>
        <v>1.567164179104478</v>
      </c>
      <c r="E7" s="9">
        <f>(B7+D7)*$D$1</f>
        <v>844.4107835820895</v>
      </c>
      <c r="F7" s="39">
        <v>838</v>
      </c>
      <c r="G7" s="70">
        <f>-E7+F7</f>
        <v>-6.410783582089493</v>
      </c>
    </row>
    <row r="8" spans="1:7" s="35" customFormat="1" ht="15">
      <c r="A8" s="9" t="s">
        <v>260</v>
      </c>
      <c r="B8" s="64">
        <v>12.15</v>
      </c>
      <c r="C8" s="64">
        <v>0.11</v>
      </c>
      <c r="D8" s="9">
        <f>C8/$C$9*$D$9</f>
        <v>0.4925373134328359</v>
      </c>
      <c r="E8" s="51"/>
      <c r="F8" s="52"/>
      <c r="G8" s="71"/>
    </row>
    <row r="9" spans="1:7" s="43" customFormat="1" ht="15">
      <c r="A9" s="41"/>
      <c r="B9" s="41"/>
      <c r="C9" s="41">
        <f>SUM(C4:C8)</f>
        <v>2.6799999999999997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  <row r="13" ht="31.5">
      <c r="A13" s="49"/>
    </row>
    <row r="14" ht="31.5">
      <c r="A14" s="4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="71" zoomScaleNormal="71"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41876</v>
      </c>
      <c r="C1" s="31" t="s">
        <v>252</v>
      </c>
      <c r="D1" s="48">
        <v>36.75</v>
      </c>
      <c r="E1" s="28" t="s">
        <v>253</v>
      </c>
    </row>
    <row r="2" s="28" customFormat="1" ht="15">
      <c r="A2" s="46" t="s">
        <v>484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5" t="s">
        <v>184</v>
      </c>
      <c r="B4" s="94">
        <v>63.15</v>
      </c>
      <c r="C4" s="95">
        <v>2.35</v>
      </c>
      <c r="D4" s="9">
        <f>C4/$C$6*$D$6</f>
        <v>10.40590405904059</v>
      </c>
      <c r="E4" s="9">
        <f>(B4+D4)*$D$1</f>
        <v>2703.1794741697413</v>
      </c>
      <c r="F4" s="39">
        <v>2694</v>
      </c>
      <c r="G4" s="70">
        <f>-E4+F4</f>
        <v>-9.179474169741297</v>
      </c>
    </row>
    <row r="5" spans="1:7" s="35" customFormat="1" ht="15">
      <c r="A5" s="9" t="s">
        <v>260</v>
      </c>
      <c r="B5" s="64">
        <v>20.4</v>
      </c>
      <c r="C5" s="64">
        <v>0.36</v>
      </c>
      <c r="D5" s="9">
        <f>C5/$C$6*$D$6</f>
        <v>1.5940959409594098</v>
      </c>
      <c r="E5" s="51"/>
      <c r="F5" s="52"/>
      <c r="G5" s="71"/>
    </row>
    <row r="6" spans="1:7" s="43" customFormat="1" ht="15">
      <c r="A6" s="41"/>
      <c r="B6" s="41"/>
      <c r="C6" s="41">
        <f>SUM(C4:C5)</f>
        <v>2.71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  <row r="10" ht="15">
      <c r="A10" s="97" t="s">
        <v>489</v>
      </c>
    </row>
    <row r="11" ht="15">
      <c r="A11" s="15" t="s">
        <v>184</v>
      </c>
    </row>
    <row r="12" ht="15">
      <c r="A12" s="99" t="s">
        <v>490</v>
      </c>
    </row>
  </sheetData>
  <sheetProtection selectLockedCells="1" selectUnlockedCells="1"/>
  <hyperlinks>
    <hyperlink ref="A12" r:id="rId1" display="http://ru.iherb.com/Tom-s-of-Maine-Natural-Children-s-Fluoride-Toothpaste-Outrageous-Orange-Mango-4-2-oz-119-g/56255 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="71" zoomScaleNormal="71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41880</v>
      </c>
      <c r="C1" s="31" t="s">
        <v>252</v>
      </c>
      <c r="D1" s="48">
        <v>37.56</v>
      </c>
      <c r="E1" s="28" t="s">
        <v>253</v>
      </c>
    </row>
    <row r="2" s="28" customFormat="1" ht="15">
      <c r="A2" s="46" t="s">
        <v>491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184</v>
      </c>
      <c r="B4" s="94">
        <v>9.9</v>
      </c>
      <c r="C4" s="95">
        <v>0.19</v>
      </c>
      <c r="D4" s="9">
        <f>C4/$C$11*$D$11</f>
        <v>0.8475836431226764</v>
      </c>
      <c r="E4" s="9">
        <f aca="true" t="shared" si="0" ref="E4:E9">(B4+D4)*$D$1</f>
        <v>403.6792416356878</v>
      </c>
      <c r="F4" s="39">
        <f>398+15</f>
        <v>413</v>
      </c>
      <c r="G4" s="70">
        <f aca="true" t="shared" si="1" ref="G4:G9">-E4+F4</f>
        <v>9.320758364312212</v>
      </c>
    </row>
    <row r="5" spans="1:7" s="35" customFormat="1" ht="15">
      <c r="A5" s="9" t="s">
        <v>207</v>
      </c>
      <c r="B5" s="94">
        <v>15.38</v>
      </c>
      <c r="C5" s="95">
        <v>0.22</v>
      </c>
      <c r="D5" s="9">
        <f>C5/$C$11*$D$11</f>
        <v>0.9814126394052043</v>
      </c>
      <c r="E5" s="9">
        <f t="shared" si="0"/>
        <v>614.5346587360596</v>
      </c>
      <c r="F5" s="39">
        <v>616</v>
      </c>
      <c r="G5" s="70">
        <f t="shared" si="1"/>
        <v>1.465341263940445</v>
      </c>
    </row>
    <row r="6" spans="1:7" s="35" customFormat="1" ht="15">
      <c r="A6" s="9" t="s">
        <v>226</v>
      </c>
      <c r="B6" s="11">
        <v>30.12</v>
      </c>
      <c r="C6" s="11">
        <v>0.61</v>
      </c>
      <c r="D6" s="9">
        <f>C6/$C$11*$D$11</f>
        <v>2.7211895910780663</v>
      </c>
      <c r="E6" s="9">
        <f t="shared" si="0"/>
        <v>1233.5150810408925</v>
      </c>
      <c r="F6" s="39">
        <v>1214</v>
      </c>
      <c r="G6" s="70">
        <f t="shared" si="1"/>
        <v>-19.515081040892483</v>
      </c>
    </row>
    <row r="7" spans="1:7" s="35" customFormat="1" ht="15">
      <c r="A7" s="9" t="s">
        <v>127</v>
      </c>
      <c r="B7" s="94">
        <v>15.38</v>
      </c>
      <c r="C7" s="95">
        <v>0.22</v>
      </c>
      <c r="D7" s="9">
        <f>C7/$C$9*$D$9</f>
        <v>0.9814126394052044</v>
      </c>
      <c r="E7" s="9">
        <f t="shared" si="0"/>
        <v>614.5346587360596</v>
      </c>
      <c r="F7" s="109"/>
      <c r="G7" s="70">
        <f t="shared" si="1"/>
        <v>-614.5346587360596</v>
      </c>
    </row>
    <row r="8" spans="1:7" s="35" customFormat="1" ht="15">
      <c r="A8" s="9" t="s">
        <v>182</v>
      </c>
      <c r="B8" s="11">
        <v>7.69</v>
      </c>
      <c r="C8" s="11">
        <v>0.11</v>
      </c>
      <c r="D8" s="9">
        <f>C8/$C$9*$D$9</f>
        <v>0.4907063197026022</v>
      </c>
      <c r="E8" s="9">
        <f t="shared" si="0"/>
        <v>307.2673293680298</v>
      </c>
      <c r="F8" s="39">
        <v>303</v>
      </c>
      <c r="G8" s="70">
        <f t="shared" si="1"/>
        <v>-4.2673293680297775</v>
      </c>
    </row>
    <row r="9" spans="1:7" s="35" customFormat="1" ht="15">
      <c r="A9" s="9" t="s">
        <v>19</v>
      </c>
      <c r="B9" s="11">
        <v>13.92</v>
      </c>
      <c r="C9" s="11">
        <v>0.39</v>
      </c>
      <c r="D9" s="9">
        <f>C9/$C$11*$D$11</f>
        <v>1.7397769516728623</v>
      </c>
      <c r="E9" s="9">
        <f t="shared" si="0"/>
        <v>588.1812223048328</v>
      </c>
      <c r="F9" s="39">
        <v>581</v>
      </c>
      <c r="G9" s="70">
        <f t="shared" si="1"/>
        <v>-7.181222304832772</v>
      </c>
    </row>
    <row r="10" spans="1:7" s="35" customFormat="1" ht="15">
      <c r="A10" s="9" t="s">
        <v>260</v>
      </c>
      <c r="B10" s="64">
        <v>8.12</v>
      </c>
      <c r="C10" s="64">
        <v>0.95</v>
      </c>
      <c r="D10" s="9">
        <f>C10/$C$11*$D$11</f>
        <v>4.237918215613382</v>
      </c>
      <c r="E10" s="51"/>
      <c r="F10" s="52"/>
      <c r="G10" s="71"/>
    </row>
    <row r="11" spans="1:7" s="43" customFormat="1" ht="15">
      <c r="A11" s="41"/>
      <c r="B11" s="41"/>
      <c r="C11" s="41">
        <f>SUM(C4:C10)</f>
        <v>2.6900000000000004</v>
      </c>
      <c r="D11" s="41">
        <v>12</v>
      </c>
      <c r="E11" s="41"/>
      <c r="F11" s="41"/>
      <c r="G11" s="41"/>
    </row>
    <row r="13" ht="31.5">
      <c r="A13" s="49"/>
    </row>
    <row r="14" ht="31.5">
      <c r="A14" s="4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41890</v>
      </c>
      <c r="C1" s="31" t="s">
        <v>252</v>
      </c>
      <c r="D1" s="48">
        <v>37.99</v>
      </c>
      <c r="E1" s="28" t="s">
        <v>253</v>
      </c>
    </row>
    <row r="2" s="28" customFormat="1" ht="15">
      <c r="A2" s="46" t="s">
        <v>493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00" t="s">
        <v>156</v>
      </c>
      <c r="B4" s="94">
        <v>96.25</v>
      </c>
      <c r="C4" s="95">
        <v>2.63</v>
      </c>
      <c r="D4" s="9">
        <f>C4/$C$6*$D$6</f>
        <v>11.645756457564575</v>
      </c>
      <c r="E4" s="9">
        <f>(B4+D4)*$D$1</f>
        <v>4098.959787822879</v>
      </c>
      <c r="F4" s="39">
        <v>6650</v>
      </c>
      <c r="G4" s="70">
        <f>-E4+F4</f>
        <v>2551.0402121771212</v>
      </c>
    </row>
    <row r="5" spans="1:7" s="35" customFormat="1" ht="15">
      <c r="A5" s="9" t="s">
        <v>260</v>
      </c>
      <c r="B5" s="64">
        <v>2.95</v>
      </c>
      <c r="C5" s="64">
        <v>0.08</v>
      </c>
      <c r="D5" s="9">
        <f>C5/$C$6*$D$6</f>
        <v>0.3542435424354244</v>
      </c>
      <c r="E5" s="51"/>
      <c r="F5" s="52"/>
      <c r="G5" s="71"/>
    </row>
    <row r="6" spans="1:7" s="43" customFormat="1" ht="15">
      <c r="A6" s="41"/>
      <c r="B6" s="41"/>
      <c r="C6" s="41">
        <f>SUM(C4:C5)</f>
        <v>2.71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PageLayoutView="0" workbookViewId="0" topLeftCell="A1">
      <selection activeCell="A8" sqref="A8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41890</v>
      </c>
      <c r="C1" s="31" t="s">
        <v>252</v>
      </c>
      <c r="D1" s="48">
        <v>37.99</v>
      </c>
      <c r="E1" s="28" t="s">
        <v>253</v>
      </c>
    </row>
    <row r="2" s="28" customFormat="1" ht="15">
      <c r="A2" s="46" t="s">
        <v>493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00" t="s">
        <v>156</v>
      </c>
      <c r="B4" s="94">
        <v>60.86</v>
      </c>
      <c r="C4" s="95">
        <v>1.4</v>
      </c>
      <c r="D4" s="9">
        <f>C4/$C$6*$D$6</f>
        <v>6.2921348314606735</v>
      </c>
      <c r="E4" s="9">
        <f>(B4+D4)*$D$1</f>
        <v>2551.109602247191</v>
      </c>
      <c r="F4" s="39"/>
      <c r="G4" s="70">
        <f>-E4+F4</f>
        <v>-2551.109602247191</v>
      </c>
    </row>
    <row r="5" spans="1:7" s="35" customFormat="1" ht="15">
      <c r="A5" s="9" t="s">
        <v>260</v>
      </c>
      <c r="B5" s="64">
        <v>31.22</v>
      </c>
      <c r="C5" s="64">
        <v>1.27</v>
      </c>
      <c r="D5" s="9">
        <f>C5/$C$6*$D$6</f>
        <v>5.707865168539326</v>
      </c>
      <c r="E5" s="51"/>
      <c r="F5" s="52"/>
      <c r="G5" s="71"/>
    </row>
    <row r="6" spans="1:7" s="43" customFormat="1" ht="15">
      <c r="A6" s="41"/>
      <c r="B6" s="41"/>
      <c r="C6" s="41">
        <f>SUM(C4:C5)</f>
        <v>2.67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41890</v>
      </c>
      <c r="C1" s="31" t="s">
        <v>252</v>
      </c>
      <c r="D1" s="48">
        <v>37.99</v>
      </c>
      <c r="E1" s="28" t="s">
        <v>253</v>
      </c>
    </row>
    <row r="2" s="28" customFormat="1" ht="15">
      <c r="A2" s="46" t="s">
        <v>493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494</v>
      </c>
      <c r="B4" s="94">
        <v>19.3</v>
      </c>
      <c r="C4" s="95">
        <v>2.12</v>
      </c>
      <c r="D4" s="9">
        <f>C4/$C$7*$D$7</f>
        <v>9.352941176470589</v>
      </c>
      <c r="E4" s="9">
        <f>(B4+D4)*$D$1</f>
        <v>1088.525235294118</v>
      </c>
      <c r="F4" s="39">
        <v>1084</v>
      </c>
      <c r="G4" s="70">
        <f>-E4+F4</f>
        <v>-4.52523529411792</v>
      </c>
    </row>
    <row r="5" spans="1:7" s="35" customFormat="1" ht="15">
      <c r="A5" s="9" t="s">
        <v>495</v>
      </c>
      <c r="B5" s="94">
        <v>8.6</v>
      </c>
      <c r="C5" s="95">
        <v>0.46</v>
      </c>
      <c r="D5" s="9">
        <f>C5/$C$7*$D$7</f>
        <v>2.0294117647058822</v>
      </c>
      <c r="E5" s="9">
        <f>(B5+D5)*$D$1</f>
        <v>403.8113529411765</v>
      </c>
      <c r="F5" s="39">
        <v>402</v>
      </c>
      <c r="G5" s="70">
        <f>-E5+F5</f>
        <v>-1.8113529411764944</v>
      </c>
    </row>
    <row r="6" spans="1:7" s="35" customFormat="1" ht="15">
      <c r="A6" s="9" t="s">
        <v>371</v>
      </c>
      <c r="B6" s="11">
        <v>55.98</v>
      </c>
      <c r="C6" s="11">
        <v>0.14</v>
      </c>
      <c r="D6" s="9">
        <f>C6/$C$7*$D$7</f>
        <v>0.6176470588235294</v>
      </c>
      <c r="E6" s="9">
        <f>(B6+D6)*$D$1</f>
        <v>2150.144611764706</v>
      </c>
      <c r="F6" s="39"/>
      <c r="G6" s="70">
        <f>-E6+F6</f>
        <v>-2150.144611764706</v>
      </c>
    </row>
    <row r="7" spans="1:7" s="43" customFormat="1" ht="15">
      <c r="A7" s="41"/>
      <c r="B7" s="41"/>
      <c r="C7" s="41">
        <f>SUM(C4:C6)</f>
        <v>2.72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/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41890</v>
      </c>
      <c r="C1" s="31" t="s">
        <v>252</v>
      </c>
      <c r="D1" s="48">
        <v>37.99</v>
      </c>
      <c r="E1" s="28" t="s">
        <v>253</v>
      </c>
    </row>
    <row r="2" s="28" customFormat="1" ht="15">
      <c r="A2" s="46" t="s">
        <v>493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19</v>
      </c>
      <c r="B4" s="94">
        <v>4.95</v>
      </c>
      <c r="C4" s="95">
        <v>0.19</v>
      </c>
      <c r="D4" s="9">
        <f>C4/$C$9*$D$9</f>
        <v>0.8497950055907566</v>
      </c>
      <c r="E4" s="9">
        <f>(B4+D4)*$D$1</f>
        <v>220.33421226239287</v>
      </c>
      <c r="F4" s="39"/>
      <c r="G4" s="70">
        <f>-E4+F4</f>
        <v>-220.33421226239287</v>
      </c>
    </row>
    <row r="5" spans="1:7" s="35" customFormat="1" ht="15">
      <c r="A5" s="9" t="s">
        <v>127</v>
      </c>
      <c r="B5" s="94">
        <v>14.72</v>
      </c>
      <c r="C5" s="95">
        <v>0.373</v>
      </c>
      <c r="D5" s="9">
        <f>C5/$C$9*$D$9</f>
        <v>1.6682817741334328</v>
      </c>
      <c r="E5" s="9">
        <f>(B5+D5)*$D$1</f>
        <v>622.5908245993292</v>
      </c>
      <c r="F5" s="39">
        <v>1237</v>
      </c>
      <c r="G5" s="70">
        <f>-E5+F5</f>
        <v>614.4091754006708</v>
      </c>
    </row>
    <row r="6" spans="1:7" s="35" customFormat="1" ht="15">
      <c r="A6" s="9" t="s">
        <v>235</v>
      </c>
      <c r="B6" s="11">
        <v>29.160000000000004</v>
      </c>
      <c r="C6" s="11">
        <v>1.0499999999999998</v>
      </c>
      <c r="D6" s="9">
        <f>C6/$C$9*$D$9</f>
        <v>4.696235557212075</v>
      </c>
      <c r="E6" s="9">
        <f>(B6+D6)*$D$1</f>
        <v>1286.198388818487</v>
      </c>
      <c r="F6" s="39"/>
      <c r="G6" s="70">
        <f>-E6+F6</f>
        <v>-1286.198388818487</v>
      </c>
    </row>
    <row r="7" spans="1:7" s="35" customFormat="1" ht="15">
      <c r="A7" s="9" t="s">
        <v>496</v>
      </c>
      <c r="B7" s="94">
        <v>32.05</v>
      </c>
      <c r="C7" s="95">
        <v>0.34</v>
      </c>
      <c r="D7" s="9">
        <f>C7/$C$9*$D$9</f>
        <v>1.5206857994781964</v>
      </c>
      <c r="E7" s="9">
        <f>(B7+D7)*$D$1</f>
        <v>1275.3503535221766</v>
      </c>
      <c r="F7" s="39">
        <v>1270</v>
      </c>
      <c r="G7" s="70">
        <f>-E7+F7</f>
        <v>-5.350353522176647</v>
      </c>
    </row>
    <row r="8" spans="1:7" s="35" customFormat="1" ht="15">
      <c r="A8" s="9" t="s">
        <v>260</v>
      </c>
      <c r="B8" s="64">
        <v>16.74</v>
      </c>
      <c r="C8" s="64">
        <v>0.73</v>
      </c>
      <c r="D8" s="9">
        <f>C8/$C$9*$D$9</f>
        <v>3.265001863585539</v>
      </c>
      <c r="E8" s="51"/>
      <c r="F8" s="52"/>
      <c r="G8" s="71"/>
    </row>
    <row r="9" spans="1:7" s="43" customFormat="1" ht="15">
      <c r="A9" s="41"/>
      <c r="B9" s="41"/>
      <c r="C9" s="41">
        <f>SUM(C4:C8)</f>
        <v>2.683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41890</v>
      </c>
      <c r="C1" s="31" t="s">
        <v>252</v>
      </c>
      <c r="D1" s="48">
        <v>37.99</v>
      </c>
      <c r="E1" s="28" t="s">
        <v>253</v>
      </c>
    </row>
    <row r="2" s="28" customFormat="1" ht="15">
      <c r="A2" s="46" t="s">
        <v>493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00" t="s">
        <v>235</v>
      </c>
      <c r="B4" s="94">
        <v>49.85</v>
      </c>
      <c r="C4" s="95">
        <v>1.75</v>
      </c>
      <c r="D4" s="9">
        <f>C4/$C$6*$D$6</f>
        <v>7.835820895522387</v>
      </c>
      <c r="E4" s="9">
        <f>(B4+D4)*$D$1</f>
        <v>2191.484335820896</v>
      </c>
      <c r="F4" s="39">
        <f>3462+15</f>
        <v>3477</v>
      </c>
      <c r="G4" s="70">
        <f>-E4+F4</f>
        <v>1285.515664179104</v>
      </c>
    </row>
    <row r="5" spans="1:7" s="35" customFormat="1" ht="15">
      <c r="A5" s="9" t="s">
        <v>260</v>
      </c>
      <c r="B5" s="64">
        <v>48.2</v>
      </c>
      <c r="C5" s="64">
        <v>0.93</v>
      </c>
      <c r="D5" s="9">
        <f>C5/$C$6*$D$6</f>
        <v>4.164179104477612</v>
      </c>
      <c r="E5" s="51"/>
      <c r="F5" s="52"/>
      <c r="G5" s="71"/>
    </row>
    <row r="6" spans="1:7" s="43" customFormat="1" ht="15">
      <c r="A6" s="41"/>
      <c r="B6" s="41"/>
      <c r="C6" s="41">
        <f>SUM(C4:C5)</f>
        <v>2.68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41890</v>
      </c>
      <c r="C1" s="31" t="s">
        <v>252</v>
      </c>
      <c r="D1" s="48">
        <v>37.99</v>
      </c>
      <c r="E1" s="28" t="s">
        <v>253</v>
      </c>
    </row>
    <row r="2" s="28" customFormat="1" ht="15">
      <c r="A2" s="46" t="s">
        <v>493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497</v>
      </c>
      <c r="B4" s="94">
        <v>9.97</v>
      </c>
      <c r="C4" s="95">
        <v>0.35</v>
      </c>
      <c r="D4" s="9">
        <f>C4/$C$7*$D$7</f>
        <v>1.5555555555555554</v>
      </c>
      <c r="E4" s="9">
        <f>(B4+D4)*$D$1</f>
        <v>437.8558555555556</v>
      </c>
      <c r="F4" s="39">
        <v>436</v>
      </c>
      <c r="G4" s="70">
        <f>-E4+F4</f>
        <v>-1.8558555555555927</v>
      </c>
    </row>
    <row r="5" spans="1:7" s="35" customFormat="1" ht="15">
      <c r="A5" s="9" t="s">
        <v>371</v>
      </c>
      <c r="B5" s="94">
        <v>55.98</v>
      </c>
      <c r="C5" s="95">
        <v>0.14</v>
      </c>
      <c r="D5" s="9">
        <f>C5/$C$7*$D$7</f>
        <v>0.6222222222222222</v>
      </c>
      <c r="E5" s="9">
        <f>(B5+D5)*$D$1</f>
        <v>2150.318422222222</v>
      </c>
      <c r="F5" s="39"/>
      <c r="G5" s="70">
        <f>-E5+F5</f>
        <v>-2150.318422222222</v>
      </c>
    </row>
    <row r="6" spans="1:7" s="35" customFormat="1" ht="15">
      <c r="A6" s="9" t="s">
        <v>260</v>
      </c>
      <c r="B6" s="64">
        <v>29.65</v>
      </c>
      <c r="C6" s="64">
        <v>2.21</v>
      </c>
      <c r="D6" s="9">
        <f>C6/$C$7*$D$7</f>
        <v>9.822222222222221</v>
      </c>
      <c r="E6" s="51"/>
      <c r="F6" s="52"/>
      <c r="G6" s="71"/>
    </row>
    <row r="7" spans="1:7" s="43" customFormat="1" ht="15">
      <c r="A7" s="41"/>
      <c r="B7" s="41"/>
      <c r="C7" s="41">
        <f>SUM(C4:C6)</f>
        <v>2.7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41890</v>
      </c>
      <c r="C1" s="31" t="s">
        <v>252</v>
      </c>
      <c r="D1" s="48">
        <v>37.99</v>
      </c>
      <c r="E1" s="28" t="s">
        <v>253</v>
      </c>
    </row>
    <row r="2" s="28" customFormat="1" ht="15">
      <c r="A2" s="46" t="s">
        <v>493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371</v>
      </c>
      <c r="B4" s="94">
        <v>69.17</v>
      </c>
      <c r="C4" s="95">
        <v>0.56</v>
      </c>
      <c r="D4" s="9">
        <f>C4/$C$7*$D$7</f>
        <v>2.5074626865671643</v>
      </c>
      <c r="E4" s="9">
        <f>(B4+D4)*$D$1</f>
        <v>2723.026807462687</v>
      </c>
      <c r="F4" s="39"/>
      <c r="G4" s="70">
        <f>-E4+F4</f>
        <v>-2723.026807462687</v>
      </c>
    </row>
    <row r="5" spans="1:7" s="35" customFormat="1" ht="15">
      <c r="A5" s="9" t="s">
        <v>498</v>
      </c>
      <c r="B5" s="94">
        <v>11.46</v>
      </c>
      <c r="C5" s="95">
        <v>1.26</v>
      </c>
      <c r="D5" s="9">
        <f>C5/$C$7*$D$7</f>
        <v>5.641791044776119</v>
      </c>
      <c r="E5" s="9">
        <f>(B5+D5)*$D$1</f>
        <v>649.6970417910449</v>
      </c>
      <c r="F5" s="39">
        <v>647</v>
      </c>
      <c r="G5" s="70">
        <f>-E5+F5</f>
        <v>-2.697041791044853</v>
      </c>
    </row>
    <row r="6" spans="1:7" s="35" customFormat="1" ht="15">
      <c r="A6" s="9" t="s">
        <v>260</v>
      </c>
      <c r="B6" s="64">
        <v>18.85</v>
      </c>
      <c r="C6" s="64">
        <v>0.86</v>
      </c>
      <c r="D6" s="9">
        <f>C6/$C$7*$D$7</f>
        <v>3.8507462686567164</v>
      </c>
      <c r="E6" s="51"/>
      <c r="F6" s="52"/>
      <c r="G6" s="71"/>
    </row>
    <row r="7" spans="1:7" s="43" customFormat="1" ht="15">
      <c r="A7" s="41"/>
      <c r="B7" s="41"/>
      <c r="C7" s="41">
        <f>SUM(C4:C6)</f>
        <v>2.68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41232</v>
      </c>
      <c r="C1" s="31" t="s">
        <v>252</v>
      </c>
      <c r="D1" s="32">
        <v>31.422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84</v>
      </c>
      <c r="B4" s="9">
        <v>29.85</v>
      </c>
      <c r="C4" s="9">
        <v>0.85</v>
      </c>
      <c r="D4" s="9">
        <f>C4/$C$8*$D$8</f>
        <v>2.360174533915113</v>
      </c>
      <c r="E4" s="9">
        <f>(B4+D4)*$D$1</f>
        <v>1012.1081042046808</v>
      </c>
      <c r="F4" s="39">
        <f>1000+26</f>
        <v>1026</v>
      </c>
      <c r="G4" s="39">
        <f>-E4+F4</f>
        <v>13.891895795319215</v>
      </c>
    </row>
    <row r="5" spans="1:7" s="35" customFormat="1" ht="15">
      <c r="A5" s="13" t="s">
        <v>277</v>
      </c>
      <c r="B5" s="9">
        <v>9.9</v>
      </c>
      <c r="C5" s="9">
        <v>0.42</v>
      </c>
      <c r="D5" s="9">
        <f>C5/$C$8*$D$8</f>
        <v>1.1662038873462912</v>
      </c>
      <c r="E5" s="9">
        <f>(B5+D5)*$D$1</f>
        <v>347.7222585481952</v>
      </c>
      <c r="F5" s="39">
        <f>474+40</f>
        <v>514</v>
      </c>
      <c r="G5" s="39">
        <f>-E5+F5</f>
        <v>166.2777414518048</v>
      </c>
    </row>
    <row r="6" spans="1:7" ht="15">
      <c r="A6" s="11" t="s">
        <v>278</v>
      </c>
      <c r="B6" s="11">
        <v>19.05</v>
      </c>
      <c r="C6" s="11">
        <v>0.451</v>
      </c>
      <c r="D6" s="9">
        <f>C6/$C$8*$D$8</f>
        <v>1.2522808409361366</v>
      </c>
      <c r="E6" s="9">
        <f>(B6+D6)*$D$1</f>
        <v>637.9382685838954</v>
      </c>
      <c r="F6" s="11">
        <v>652</v>
      </c>
      <c r="G6" s="39">
        <f>-E6+F6</f>
        <v>14.061731416104635</v>
      </c>
    </row>
    <row r="7" spans="1:7" ht="15">
      <c r="A7" s="28" t="s">
        <v>274</v>
      </c>
      <c r="B7" s="11">
        <v>17.98</v>
      </c>
      <c r="C7" s="11">
        <v>0.8</v>
      </c>
      <c r="D7" s="9">
        <f>C7/$C$8*$D$8</f>
        <v>2.2213407378024597</v>
      </c>
      <c r="E7" s="9">
        <f>(B7+D7)*$D$1</f>
        <v>634.766528663229</v>
      </c>
      <c r="F7" s="11"/>
      <c r="G7" s="39"/>
    </row>
    <row r="8" spans="1:7" ht="15">
      <c r="A8" s="41" t="s">
        <v>276</v>
      </c>
      <c r="B8" s="36"/>
      <c r="C8" s="41">
        <f>SUM(C4:C7)</f>
        <v>2.521</v>
      </c>
      <c r="D8" s="41">
        <v>7</v>
      </c>
      <c r="E8" s="36"/>
      <c r="F8" s="11"/>
      <c r="G8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41890</v>
      </c>
      <c r="C1" s="31" t="s">
        <v>252</v>
      </c>
      <c r="D1" s="48">
        <v>37.99</v>
      </c>
      <c r="E1" s="28" t="s">
        <v>253</v>
      </c>
    </row>
    <row r="2" s="28" customFormat="1" ht="15">
      <c r="A2" s="46" t="s">
        <v>493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84</v>
      </c>
      <c r="B4" s="94">
        <v>54.36</v>
      </c>
      <c r="C4" s="95">
        <v>1.76</v>
      </c>
      <c r="D4" s="9">
        <f>C4/$C$9*$D$9</f>
        <v>7.825120414968508</v>
      </c>
      <c r="E4" s="9">
        <f>(B4+D4)*$D$1</f>
        <v>2362.4127245646537</v>
      </c>
      <c r="F4" s="39">
        <v>2341</v>
      </c>
      <c r="G4" s="70">
        <f>-E4+F4</f>
        <v>-21.412724564653672</v>
      </c>
    </row>
    <row r="5" spans="1:7" s="35" customFormat="1" ht="15">
      <c r="A5" s="9" t="s">
        <v>499</v>
      </c>
      <c r="B5" s="101">
        <v>2.55</v>
      </c>
      <c r="C5" s="102">
        <v>0.14</v>
      </c>
      <c r="D5" s="9">
        <f>C5/$C$9*$D$9</f>
        <v>0.6224527602815859</v>
      </c>
      <c r="E5" s="9">
        <f>(B5+D5)*$D$1</f>
        <v>120.52148036309745</v>
      </c>
      <c r="F5" s="39">
        <v>120</v>
      </c>
      <c r="G5" s="70">
        <f>-E5+F5</f>
        <v>-0.5214803630974529</v>
      </c>
    </row>
    <row r="6" spans="1:7" s="35" customFormat="1" ht="15">
      <c r="A6" s="9" t="s">
        <v>500</v>
      </c>
      <c r="B6" s="11">
        <v>10.45</v>
      </c>
      <c r="C6" s="11">
        <v>0.056</v>
      </c>
      <c r="D6" s="9">
        <f>C6/$C$9*$D$9</f>
        <v>0.24898110411263433</v>
      </c>
      <c r="E6" s="9">
        <f>(B6+D6)*$D$1</f>
        <v>406.4542921452389</v>
      </c>
      <c r="F6" s="39">
        <v>405</v>
      </c>
      <c r="G6" s="70">
        <f>-E6+F6</f>
        <v>-1.4542921452389237</v>
      </c>
    </row>
    <row r="7" spans="1:7" s="35" customFormat="1" ht="15">
      <c r="A7" s="9" t="s">
        <v>120</v>
      </c>
      <c r="B7" s="94">
        <v>4.75</v>
      </c>
      <c r="C7" s="95">
        <v>0.023</v>
      </c>
      <c r="D7" s="9">
        <f>C7/$C$9*$D$9</f>
        <v>0.10226009633197482</v>
      </c>
      <c r="E7" s="9">
        <f>(B7+D7)*$D$1</f>
        <v>184.33736105965173</v>
      </c>
      <c r="F7" s="39">
        <v>184</v>
      </c>
      <c r="G7" s="70">
        <f>-E7+F7</f>
        <v>-0.3373610596517267</v>
      </c>
    </row>
    <row r="8" spans="1:7" s="35" customFormat="1" ht="15">
      <c r="A8" s="9" t="s">
        <v>260</v>
      </c>
      <c r="B8" s="64">
        <v>16.35</v>
      </c>
      <c r="C8" s="64">
        <v>0.72</v>
      </c>
      <c r="D8" s="9">
        <f>C8/$C$9*$D$9</f>
        <v>3.2011856243052987</v>
      </c>
      <c r="E8" s="51"/>
      <c r="F8" s="52"/>
      <c r="G8" s="71"/>
    </row>
    <row r="9" spans="1:7" s="43" customFormat="1" ht="15">
      <c r="A9" s="41"/>
      <c r="B9" s="41"/>
      <c r="C9" s="41">
        <f>SUM(C4:C8)</f>
        <v>2.699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41890</v>
      </c>
      <c r="C1" s="31" t="s">
        <v>252</v>
      </c>
      <c r="D1" s="48">
        <v>37.99</v>
      </c>
      <c r="E1" s="28" t="s">
        <v>253</v>
      </c>
    </row>
    <row r="2" s="28" customFormat="1" ht="15">
      <c r="A2" s="46" t="s">
        <v>493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00" t="s">
        <v>371</v>
      </c>
      <c r="B4" s="94">
        <v>87.8</v>
      </c>
      <c r="C4" s="95">
        <v>2.24</v>
      </c>
      <c r="D4" s="9">
        <f>C4/$C$6*$D$6</f>
        <v>9.955555555555556</v>
      </c>
      <c r="E4" s="9">
        <f>(B4+D4)*$D$1</f>
        <v>3713.733555555556</v>
      </c>
      <c r="F4" s="39"/>
      <c r="G4" s="70">
        <f>-E4+F4</f>
        <v>-3713.733555555556</v>
      </c>
    </row>
    <row r="5" spans="1:7" s="35" customFormat="1" ht="15">
      <c r="A5" s="9" t="s">
        <v>260</v>
      </c>
      <c r="B5" s="64">
        <v>11.2</v>
      </c>
      <c r="C5" s="64">
        <v>0.46</v>
      </c>
      <c r="D5" s="9">
        <f>C5/$C$6*$D$6</f>
        <v>2.0444444444444443</v>
      </c>
      <c r="E5" s="51"/>
      <c r="F5" s="52"/>
      <c r="G5" s="71"/>
    </row>
    <row r="6" spans="1:7" s="43" customFormat="1" ht="15">
      <c r="A6" s="41"/>
      <c r="B6" s="41"/>
      <c r="C6" s="41">
        <f>SUM(C4:C5)</f>
        <v>2.7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41890</v>
      </c>
      <c r="C1" s="31" t="s">
        <v>252</v>
      </c>
      <c r="D1" s="48">
        <v>37.99</v>
      </c>
      <c r="E1" s="28" t="s">
        <v>253</v>
      </c>
    </row>
    <row r="2" s="28" customFormat="1" ht="15">
      <c r="A2" s="46" t="s">
        <v>493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00" t="s">
        <v>371</v>
      </c>
      <c r="B4" s="94">
        <v>52.03</v>
      </c>
      <c r="C4" s="95">
        <v>0.84</v>
      </c>
      <c r="D4" s="9">
        <f>C4/$C$6*$D$6</f>
        <v>3.719557195571955</v>
      </c>
      <c r="E4" s="9">
        <f>(B4+D4)*$D$1</f>
        <v>2117.9256778597787</v>
      </c>
      <c r="F4" s="39">
        <v>14938</v>
      </c>
      <c r="G4" s="70">
        <f>-E4+F4</f>
        <v>12820.07432214022</v>
      </c>
    </row>
    <row r="5" spans="1:7" s="35" customFormat="1" ht="15">
      <c r="A5" s="9" t="s">
        <v>260</v>
      </c>
      <c r="B5" s="64">
        <v>44.37</v>
      </c>
      <c r="C5" s="64">
        <v>1.87</v>
      </c>
      <c r="D5" s="9">
        <f>C5/$C$6*$D$6</f>
        <v>8.280442804428045</v>
      </c>
      <c r="E5" s="51"/>
      <c r="F5" s="52"/>
      <c r="G5" s="71"/>
    </row>
    <row r="6" spans="1:7" s="43" customFormat="1" ht="15">
      <c r="A6" s="41"/>
      <c r="B6" s="41"/>
      <c r="C6" s="41">
        <v>2.71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17.8515625" style="0" customWidth="1"/>
  </cols>
  <sheetData>
    <row r="1" spans="1:5" s="28" customFormat="1" ht="21">
      <c r="A1" s="29" t="s">
        <v>251</v>
      </c>
      <c r="B1" s="30">
        <v>41892</v>
      </c>
      <c r="C1" s="31" t="s">
        <v>252</v>
      </c>
      <c r="D1" s="48">
        <v>38.02</v>
      </c>
      <c r="E1" s="28" t="s">
        <v>253</v>
      </c>
    </row>
    <row r="2" s="28" customFormat="1" ht="15">
      <c r="A2" s="46" t="s">
        <v>504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211</v>
      </c>
      <c r="B4" s="94">
        <v>11.14</v>
      </c>
      <c r="C4" s="95">
        <v>0.76</v>
      </c>
      <c r="D4" s="9">
        <f aca="true" t="shared" si="0" ref="D4:D9">C4/$C$10*$D$10</f>
        <v>3.427282976324691</v>
      </c>
      <c r="E4" s="9">
        <f>(B4+D4)*$D$1</f>
        <v>553.8480987598648</v>
      </c>
      <c r="F4" s="39">
        <v>550</v>
      </c>
      <c r="G4" s="70">
        <f>-E4+F4</f>
        <v>-3.848098759864797</v>
      </c>
    </row>
    <row r="5" spans="1:7" s="35" customFormat="1" ht="15">
      <c r="A5" s="9" t="s">
        <v>19</v>
      </c>
      <c r="B5" s="106">
        <v>4.95</v>
      </c>
      <c r="C5" s="107">
        <v>0.19</v>
      </c>
      <c r="D5" s="9">
        <f t="shared" si="0"/>
        <v>0.8568207440811727</v>
      </c>
      <c r="E5" s="9">
        <f>(B5+D5)*$D$1</f>
        <v>220.7753246899662</v>
      </c>
      <c r="F5" s="39">
        <v>447</v>
      </c>
      <c r="G5" s="70">
        <f>-E5+F5</f>
        <v>226.2246753100338</v>
      </c>
    </row>
    <row r="6" spans="1:7" s="35" customFormat="1" ht="15">
      <c r="A6" s="9" t="s">
        <v>371</v>
      </c>
      <c r="B6" s="94">
        <v>55.98</v>
      </c>
      <c r="C6" s="95">
        <v>0.14</v>
      </c>
      <c r="D6" s="9">
        <f t="shared" si="0"/>
        <v>0.6313416009019167</v>
      </c>
      <c r="E6" s="9">
        <f>(B6+D6)*$D$1</f>
        <v>2152.363207666291</v>
      </c>
      <c r="F6" s="39"/>
      <c r="G6" s="70">
        <f>-E6+F6</f>
        <v>-2152.363207666291</v>
      </c>
    </row>
    <row r="7" spans="1:8" s="35" customFormat="1" ht="28.5" customHeight="1">
      <c r="A7" s="9" t="s">
        <v>505</v>
      </c>
      <c r="B7" s="94">
        <v>0.95</v>
      </c>
      <c r="C7" s="95">
        <v>0.001</v>
      </c>
      <c r="D7" s="9">
        <f t="shared" si="0"/>
        <v>0.00450958286358512</v>
      </c>
      <c r="E7" s="9">
        <f>(B7+D7)*$D$1</f>
        <v>36.29045434047351</v>
      </c>
      <c r="F7" s="39">
        <f>89-63</f>
        <v>26</v>
      </c>
      <c r="G7" s="70">
        <f>-E7+F7</f>
        <v>-10.29045434047351</v>
      </c>
      <c r="H7" s="35" t="s">
        <v>535</v>
      </c>
    </row>
    <row r="8" spans="1:7" s="35" customFormat="1" ht="15">
      <c r="A8" s="9" t="s">
        <v>506</v>
      </c>
      <c r="B8" s="94">
        <v>34.17</v>
      </c>
      <c r="C8" s="95">
        <v>0.34</v>
      </c>
      <c r="D8" s="9">
        <f t="shared" si="0"/>
        <v>1.5332581736189406</v>
      </c>
      <c r="E8" s="9">
        <f>(B8+D8)*$D$1</f>
        <v>1357.4378757609923</v>
      </c>
      <c r="F8" s="39">
        <f>1348+9</f>
        <v>1357</v>
      </c>
      <c r="G8" s="70">
        <f>-E8+F8</f>
        <v>-0.4378757609922559</v>
      </c>
    </row>
    <row r="9" spans="1:7" s="35" customFormat="1" ht="15">
      <c r="A9" s="100" t="s">
        <v>260</v>
      </c>
      <c r="B9" s="64">
        <v>24.3</v>
      </c>
      <c r="C9" s="64">
        <v>1.23</v>
      </c>
      <c r="D9" s="9">
        <f t="shared" si="0"/>
        <v>5.546786922209696</v>
      </c>
      <c r="E9" s="51"/>
      <c r="F9" s="52"/>
      <c r="G9" s="71"/>
    </row>
    <row r="10" spans="1:7" s="43" customFormat="1" ht="15">
      <c r="A10" s="41"/>
      <c r="B10" s="41"/>
      <c r="C10" s="41">
        <f>SUM(C4:C9)</f>
        <v>2.6609999999999996</v>
      </c>
      <c r="D10" s="41">
        <v>12</v>
      </c>
      <c r="E10" s="41"/>
      <c r="F10" s="41"/>
      <c r="G10" s="41"/>
    </row>
    <row r="12" ht="31.5">
      <c r="A12" s="49"/>
    </row>
    <row r="13" ht="31.5">
      <c r="A13" s="49"/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41894</v>
      </c>
      <c r="C1" s="31" t="s">
        <v>252</v>
      </c>
      <c r="D1" s="48">
        <v>38.43</v>
      </c>
      <c r="E1" s="28" t="s">
        <v>253</v>
      </c>
    </row>
    <row r="2" s="28" customFormat="1" ht="15">
      <c r="A2" s="46" t="s">
        <v>509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8" s="35" customFormat="1" ht="30">
      <c r="A4" s="100" t="s">
        <v>43</v>
      </c>
      <c r="B4" s="94"/>
      <c r="C4" s="95"/>
      <c r="D4" s="9" t="e">
        <f>C4/$C$5*$D$5</f>
        <v>#DIV/0!</v>
      </c>
      <c r="E4" s="9" t="e">
        <f>(B4+D4)*$D$1</f>
        <v>#DIV/0!</v>
      </c>
      <c r="F4" s="39">
        <f>2829-20</f>
        <v>2809</v>
      </c>
      <c r="G4" s="70">
        <f>2829-20</f>
        <v>2809</v>
      </c>
      <c r="H4" s="35" t="s">
        <v>653</v>
      </c>
    </row>
    <row r="5" spans="1:8" s="43" customFormat="1" ht="15">
      <c r="A5" s="41"/>
      <c r="B5" s="41"/>
      <c r="C5" s="41">
        <f>SUM(C4:C4)</f>
        <v>0</v>
      </c>
      <c r="D5" s="41">
        <v>12</v>
      </c>
      <c r="E5" s="41"/>
      <c r="F5" s="41"/>
      <c r="G5" s="41"/>
      <c r="H5" s="43" t="s">
        <v>654</v>
      </c>
    </row>
    <row r="7" ht="31.5">
      <c r="A7" s="49"/>
    </row>
    <row r="8" ht="31.5">
      <c r="A8" s="49"/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41897</v>
      </c>
      <c r="C1" s="31" t="s">
        <v>252</v>
      </c>
      <c r="D1" s="48">
        <v>39.03</v>
      </c>
      <c r="E1" s="28" t="s">
        <v>253</v>
      </c>
    </row>
    <row r="2" s="28" customFormat="1" ht="15">
      <c r="A2" s="46" t="s">
        <v>509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96</v>
      </c>
      <c r="B4" s="94">
        <v>13.32</v>
      </c>
      <c r="C4" s="95">
        <v>0.38</v>
      </c>
      <c r="D4" s="9">
        <f>C4/$C$9*$D$9</f>
        <v>1.802371541501976</v>
      </c>
      <c r="E4" s="9">
        <f>(B4+D4)*$D$1</f>
        <v>590.2261612648222</v>
      </c>
      <c r="F4" s="39">
        <v>581</v>
      </c>
      <c r="G4" s="70">
        <f>-E4+F4</f>
        <v>-9.226161264822167</v>
      </c>
    </row>
    <row r="5" spans="1:7" s="35" customFormat="1" ht="15">
      <c r="A5" s="9" t="s">
        <v>207</v>
      </c>
      <c r="B5" s="106">
        <v>21.38</v>
      </c>
      <c r="C5" s="107">
        <v>0.16</v>
      </c>
      <c r="D5" s="9">
        <f>C5/$C$9*$D$9</f>
        <v>0.758893280632411</v>
      </c>
      <c r="E5" s="9">
        <f>(B5+D5)*$D$1</f>
        <v>864.081004743083</v>
      </c>
      <c r="F5" s="39">
        <f>850+22</f>
        <v>872</v>
      </c>
      <c r="G5" s="70">
        <f>-E5+F5</f>
        <v>7.918995256917015</v>
      </c>
    </row>
    <row r="6" spans="1:7" s="35" customFormat="1" ht="15">
      <c r="A6" s="9" t="s">
        <v>46</v>
      </c>
      <c r="B6" s="94">
        <v>35.47</v>
      </c>
      <c r="C6" s="95">
        <v>1.09</v>
      </c>
      <c r="D6" s="9">
        <f>C6/$C$9*$D$9</f>
        <v>5.169960474308301</v>
      </c>
      <c r="E6" s="9">
        <f>(B6+D6)*$D$1</f>
        <v>1586.177657312253</v>
      </c>
      <c r="F6" s="39">
        <f>1562+24</f>
        <v>1586</v>
      </c>
      <c r="G6" s="70">
        <f>-E6+F6</f>
        <v>-0.17765731225290438</v>
      </c>
    </row>
    <row r="7" spans="1:7" s="35" customFormat="1" ht="15">
      <c r="A7" s="9" t="s">
        <v>510</v>
      </c>
      <c r="B7" s="94">
        <v>28.89</v>
      </c>
      <c r="C7" s="95">
        <v>0.16</v>
      </c>
      <c r="D7" s="9">
        <f>C7/$C$9*$D$9</f>
        <v>0.758893280632411</v>
      </c>
      <c r="E7" s="9">
        <f>(B7+D7)*$D$1</f>
        <v>1157.196304743083</v>
      </c>
      <c r="F7" s="39">
        <f>1139+18</f>
        <v>1157</v>
      </c>
      <c r="G7" s="70">
        <f>-E7+F7</f>
        <v>-0.19630474308291923</v>
      </c>
    </row>
    <row r="8" spans="1:7" s="35" customFormat="1" ht="15">
      <c r="A8" s="100" t="s">
        <v>260</v>
      </c>
      <c r="B8" s="64">
        <v>15.2</v>
      </c>
      <c r="C8" s="64">
        <v>0.74</v>
      </c>
      <c r="D8" s="9">
        <f>C8/$C$9*$D$9</f>
        <v>3.509881422924901</v>
      </c>
      <c r="E8" s="51"/>
      <c r="F8" s="52"/>
      <c r="G8" s="71"/>
    </row>
    <row r="9" spans="1:7" s="43" customFormat="1" ht="15">
      <c r="A9" s="41"/>
      <c r="B9" s="41"/>
      <c r="C9" s="41">
        <f>SUM(C4:C8)</f>
        <v>2.5300000000000002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22.57421875" style="0" customWidth="1"/>
  </cols>
  <sheetData>
    <row r="1" spans="1:5" s="28" customFormat="1" ht="21">
      <c r="A1" s="29" t="s">
        <v>251</v>
      </c>
      <c r="B1" s="30">
        <v>41897</v>
      </c>
      <c r="C1" s="31" t="s">
        <v>252</v>
      </c>
      <c r="D1" s="48">
        <v>39.03</v>
      </c>
      <c r="E1" s="28" t="s">
        <v>253</v>
      </c>
    </row>
    <row r="2" s="28" customFormat="1" ht="15">
      <c r="A2" s="46" t="s">
        <v>509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8" s="35" customFormat="1" ht="24.75" customHeight="1">
      <c r="A4" s="9" t="s">
        <v>56</v>
      </c>
      <c r="B4" s="94">
        <v>25.77</v>
      </c>
      <c r="C4" s="95">
        <v>0.27</v>
      </c>
      <c r="D4" s="9">
        <f>C4/$C$9*$D$9</f>
        <v>1.2089552238805972</v>
      </c>
      <c r="E4" s="9">
        <f>(B4+D4)*$D$1</f>
        <v>1052.9886223880596</v>
      </c>
      <c r="F4" s="39">
        <f>1100-44</f>
        <v>1056</v>
      </c>
      <c r="G4" s="70">
        <f>-E4+F4</f>
        <v>3.011377611940361</v>
      </c>
      <c r="H4" s="35" t="s">
        <v>556</v>
      </c>
    </row>
    <row r="5" spans="1:7" s="35" customFormat="1" ht="15">
      <c r="A5" s="9" t="s">
        <v>511</v>
      </c>
      <c r="B5" s="106">
        <v>46.98</v>
      </c>
      <c r="C5" s="107">
        <v>0.4</v>
      </c>
      <c r="D5" s="9">
        <f>C5/$C$9*$D$9</f>
        <v>1.7910447761194033</v>
      </c>
      <c r="E5" s="9">
        <f>(B5+D5)*$D$1</f>
        <v>1903.5338776119404</v>
      </c>
      <c r="F5" s="39">
        <f>1873+32</f>
        <v>1905</v>
      </c>
      <c r="G5" s="70">
        <f>-E5+F5</f>
        <v>1.4661223880596026</v>
      </c>
    </row>
    <row r="6" spans="1:7" s="35" customFormat="1" ht="15">
      <c r="A6" s="9" t="s">
        <v>246</v>
      </c>
      <c r="B6" s="94">
        <v>23.88</v>
      </c>
      <c r="C6" s="95">
        <v>0.35</v>
      </c>
      <c r="D6" s="9">
        <f>C6/$C$9*$D$9</f>
        <v>1.567164179104478</v>
      </c>
      <c r="E6" s="9">
        <f>(B6+D6)*$D$1</f>
        <v>993.2028179104477</v>
      </c>
      <c r="F6" s="39">
        <f>977+16</f>
        <v>993</v>
      </c>
      <c r="G6" s="70">
        <f>-E6+F6</f>
        <v>-0.20281791044772035</v>
      </c>
    </row>
    <row r="7" spans="1:8" s="35" customFormat="1" ht="45">
      <c r="A7" s="9" t="s">
        <v>496</v>
      </c>
      <c r="B7" s="94">
        <v>9.34</v>
      </c>
      <c r="C7" s="95">
        <v>0.27</v>
      </c>
      <c r="D7" s="9">
        <f>C7/$C$9*$D$9</f>
        <v>1.2089552238805972</v>
      </c>
      <c r="E7" s="9">
        <f>(B7+D7)*$D$1</f>
        <v>411.7257223880597</v>
      </c>
      <c r="F7" s="39">
        <f>460-43</f>
        <v>417</v>
      </c>
      <c r="G7" s="70">
        <f>-E7+F7</f>
        <v>5.274277611940306</v>
      </c>
      <c r="H7" s="35" t="s">
        <v>561</v>
      </c>
    </row>
    <row r="8" spans="1:7" s="35" customFormat="1" ht="15">
      <c r="A8" s="100" t="s">
        <v>260</v>
      </c>
      <c r="B8" s="64">
        <v>17.12</v>
      </c>
      <c r="C8" s="64">
        <v>1.39</v>
      </c>
      <c r="D8" s="9">
        <f>C8/$C$9*$D$9</f>
        <v>6.223880597014926</v>
      </c>
      <c r="E8" s="51"/>
      <c r="F8" s="52"/>
      <c r="G8" s="71"/>
    </row>
    <row r="9" spans="1:7" s="43" customFormat="1" ht="15">
      <c r="A9" s="41"/>
      <c r="B9" s="41"/>
      <c r="C9" s="41">
        <f>SUM(C4:C8)</f>
        <v>2.6799999999999997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41904</v>
      </c>
      <c r="C1" s="31" t="s">
        <v>252</v>
      </c>
      <c r="D1" s="48">
        <v>39.04</v>
      </c>
      <c r="E1" s="28" t="s">
        <v>253</v>
      </c>
    </row>
    <row r="2" s="28" customFormat="1" ht="15">
      <c r="A2" s="46" t="s">
        <v>515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350</v>
      </c>
      <c r="B4" s="94">
        <v>16.09</v>
      </c>
      <c r="C4" s="95">
        <v>1.52</v>
      </c>
      <c r="D4" s="9">
        <f>C4/$C$8*$D$8</f>
        <v>6.730627306273064</v>
      </c>
      <c r="E4" s="9">
        <f>(B4+D4)*$D$1</f>
        <v>890.9172900369003</v>
      </c>
      <c r="F4" s="39"/>
      <c r="G4" s="70">
        <f>-E4+F4</f>
        <v>-890.9172900369003</v>
      </c>
    </row>
    <row r="5" spans="1:7" s="35" customFormat="1" ht="15">
      <c r="A5" s="9" t="s">
        <v>143</v>
      </c>
      <c r="B5" s="106">
        <v>39.67</v>
      </c>
      <c r="C5" s="107">
        <v>0.52</v>
      </c>
      <c r="D5" s="9">
        <f>C5/$C$8*$D$8</f>
        <v>2.302583025830258</v>
      </c>
      <c r="E5" s="9">
        <f>(B5+D5)*$D$1</f>
        <v>1638.6096413284133</v>
      </c>
      <c r="F5" s="39">
        <v>1633</v>
      </c>
      <c r="G5" s="70">
        <f>-E5+F5</f>
        <v>-5.609641328413318</v>
      </c>
    </row>
    <row r="6" spans="1:7" s="35" customFormat="1" ht="15">
      <c r="A6" s="9" t="s">
        <v>19</v>
      </c>
      <c r="B6" s="94">
        <v>14.66</v>
      </c>
      <c r="C6" s="95">
        <v>0.2</v>
      </c>
      <c r="D6" s="9">
        <f>C6/$C$8*$D$8</f>
        <v>0.8856088560885609</v>
      </c>
      <c r="E6" s="9">
        <f>(B6+D6)*$D$1</f>
        <v>606.9005697416974</v>
      </c>
      <c r="F6" s="39">
        <v>611</v>
      </c>
      <c r="G6" s="70">
        <f>-E6+F6</f>
        <v>4.099430258302618</v>
      </c>
    </row>
    <row r="7" spans="1:7" s="35" customFormat="1" ht="15">
      <c r="A7" s="100" t="s">
        <v>260</v>
      </c>
      <c r="B7" s="64">
        <v>23.35</v>
      </c>
      <c r="C7" s="64">
        <v>0.47</v>
      </c>
      <c r="D7" s="9">
        <f>C7/$C$8*$D$8</f>
        <v>2.081180811808118</v>
      </c>
      <c r="E7" s="51"/>
      <c r="F7" s="52"/>
      <c r="G7" s="71"/>
    </row>
    <row r="8" spans="1:7" s="43" customFormat="1" ht="15">
      <c r="A8" s="41"/>
      <c r="B8" s="41"/>
      <c r="C8" s="41">
        <f>SUM(C4:C7)</f>
        <v>2.71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41904</v>
      </c>
      <c r="C1" s="31" t="s">
        <v>252</v>
      </c>
      <c r="D1" s="48">
        <v>39.04</v>
      </c>
      <c r="E1" s="28" t="s">
        <v>253</v>
      </c>
    </row>
    <row r="2" s="28" customFormat="1" ht="15">
      <c r="A2" s="46" t="s">
        <v>515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350</v>
      </c>
      <c r="B4" s="94">
        <v>20.27</v>
      </c>
      <c r="C4" s="95">
        <v>2.32</v>
      </c>
      <c r="D4" s="9">
        <f>C4/$C$7*$D$7</f>
        <v>10.235294117647058</v>
      </c>
      <c r="E4" s="9">
        <f>(B4+D4)*$D$1</f>
        <v>1190.926682352941</v>
      </c>
      <c r="F4" s="39">
        <v>2428</v>
      </c>
      <c r="G4" s="70">
        <f>-E4+F4</f>
        <v>1237.073317647059</v>
      </c>
    </row>
    <row r="5" spans="1:7" s="35" customFormat="1" ht="15">
      <c r="A5" s="100" t="s">
        <v>117</v>
      </c>
      <c r="B5" s="94">
        <v>25.18</v>
      </c>
      <c r="C5" s="110">
        <v>0.37</v>
      </c>
      <c r="D5" s="9">
        <f>C5/$C$7*$D$7</f>
        <v>1.6323529411764708</v>
      </c>
      <c r="E5" s="9">
        <f>(B5+D5)*$D$1</f>
        <v>1046.7542588235294</v>
      </c>
      <c r="F5" s="39">
        <v>1051</v>
      </c>
      <c r="G5" s="70">
        <f>-E5+F5</f>
        <v>4.245741176470574</v>
      </c>
    </row>
    <row r="6" spans="1:7" s="35" customFormat="1" ht="15">
      <c r="A6" s="100" t="s">
        <v>260</v>
      </c>
      <c r="B6" s="64">
        <v>14.05</v>
      </c>
      <c r="C6" s="107">
        <v>0.03</v>
      </c>
      <c r="D6" s="9">
        <f>C6/$C$7*$D$7</f>
        <v>0.1323529411764706</v>
      </c>
      <c r="E6" s="51"/>
      <c r="F6" s="52"/>
      <c r="G6" s="71"/>
    </row>
    <row r="7" spans="1:7" s="43" customFormat="1" ht="15">
      <c r="A7" s="41"/>
      <c r="B7" s="41"/>
      <c r="C7" s="41">
        <f>SUM(C4:C6)</f>
        <v>2.7199999999999998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41904</v>
      </c>
      <c r="C1" s="31" t="s">
        <v>252</v>
      </c>
      <c r="D1" s="48">
        <v>39.04</v>
      </c>
      <c r="E1" s="28" t="s">
        <v>253</v>
      </c>
    </row>
    <row r="2" s="28" customFormat="1" ht="15">
      <c r="A2" s="46" t="s">
        <v>515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00" t="s">
        <v>519</v>
      </c>
      <c r="B4" s="94">
        <v>6.75</v>
      </c>
      <c r="C4" s="95">
        <v>0.05</v>
      </c>
      <c r="D4" s="9">
        <f>C4/$C$9*$D$9</f>
        <v>0.22304832713754646</v>
      </c>
      <c r="E4" s="9">
        <f>(B4+D4)*$D$1</f>
        <v>272.2278066914498</v>
      </c>
      <c r="F4" s="39">
        <v>273</v>
      </c>
      <c r="G4" s="70">
        <f>-E4+F4</f>
        <v>0.772193308550186</v>
      </c>
    </row>
    <row r="5" spans="1:7" s="35" customFormat="1" ht="15">
      <c r="A5" s="9" t="s">
        <v>517</v>
      </c>
      <c r="B5" s="106">
        <v>10.36</v>
      </c>
      <c r="C5" s="107">
        <v>0.27</v>
      </c>
      <c r="D5" s="9">
        <f>C5/$C$9*$D$9</f>
        <v>1.204460966542751</v>
      </c>
      <c r="E5" s="9">
        <f>(B5+D5)*$D$1</f>
        <v>451.476556133829</v>
      </c>
      <c r="F5" s="39">
        <v>453</v>
      </c>
      <c r="G5" s="70">
        <f>-E5+F5</f>
        <v>1.5234438661710215</v>
      </c>
    </row>
    <row r="6" spans="1:7" s="35" customFormat="1" ht="15">
      <c r="A6" s="9" t="s">
        <v>25</v>
      </c>
      <c r="B6" s="94">
        <v>9.01</v>
      </c>
      <c r="C6" s="95">
        <v>0.1</v>
      </c>
      <c r="D6" s="9">
        <f>C6/$C$9*$D$9</f>
        <v>0.44609665427509293</v>
      </c>
      <c r="E6" s="9">
        <f>(B6+D6)*$D$1</f>
        <v>369.1660133828996</v>
      </c>
      <c r="F6" s="39">
        <v>381</v>
      </c>
      <c r="G6" s="70">
        <f>-E6+F6</f>
        <v>11.83398661710038</v>
      </c>
    </row>
    <row r="7" spans="1:7" s="35" customFormat="1" ht="15">
      <c r="A7" s="9" t="s">
        <v>82</v>
      </c>
      <c r="B7" s="94">
        <v>39.72</v>
      </c>
      <c r="C7" s="95">
        <v>1.94</v>
      </c>
      <c r="D7" s="9">
        <f>C7/$C$9*$D$9</f>
        <v>8.654275092936803</v>
      </c>
      <c r="E7" s="9">
        <f>(B7+D7)*$D$1</f>
        <v>1888.5316996282527</v>
      </c>
      <c r="F7" s="39">
        <v>1891</v>
      </c>
      <c r="G7" s="70">
        <f>-E7+F7</f>
        <v>2.4683003717473184</v>
      </c>
    </row>
    <row r="8" spans="1:7" s="35" customFormat="1" ht="15">
      <c r="A8" s="100" t="s">
        <v>260</v>
      </c>
      <c r="B8" s="64">
        <v>23.97</v>
      </c>
      <c r="C8" s="64">
        <v>0.33</v>
      </c>
      <c r="D8" s="9">
        <f>C8/$C$9*$D$9</f>
        <v>1.4721189591078068</v>
      </c>
      <c r="E8" s="51"/>
      <c r="F8" s="52"/>
      <c r="G8" s="71"/>
    </row>
    <row r="9" spans="1:7" s="43" customFormat="1" ht="15">
      <c r="A9" s="41"/>
      <c r="B9" s="41"/>
      <c r="C9" s="41">
        <f>SUM(C4:C8)</f>
        <v>2.69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41234</v>
      </c>
      <c r="C1" s="31" t="s">
        <v>252</v>
      </c>
      <c r="D1" s="32">
        <v>31.422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268</v>
      </c>
      <c r="B4" s="9">
        <v>5.27</v>
      </c>
      <c r="C4" s="9">
        <v>0.28</v>
      </c>
      <c r="D4" s="9">
        <f>C4/$C$8*$D$8</f>
        <v>0.7286245353159853</v>
      </c>
      <c r="E4" s="9">
        <f>(B4+D4)*$D$1</f>
        <v>188.48878014869888</v>
      </c>
      <c r="F4" s="39">
        <v>175</v>
      </c>
      <c r="G4" s="39">
        <f>-E4+F4</f>
        <v>-13.48878014869888</v>
      </c>
    </row>
    <row r="5" spans="1:7" s="35" customFormat="1" ht="15">
      <c r="A5" s="13" t="s">
        <v>279</v>
      </c>
      <c r="B5" s="9">
        <v>11.84</v>
      </c>
      <c r="C5" s="9">
        <v>0.11</v>
      </c>
      <c r="D5" s="9">
        <f>C5/$C$8*$D$8</f>
        <v>0.2862453531598513</v>
      </c>
      <c r="E5" s="9">
        <f>(B5+D5)*$D$1</f>
        <v>381.03088148698885</v>
      </c>
      <c r="F5" s="39">
        <v>384</v>
      </c>
      <c r="G5" s="39">
        <f>-E5+F5</f>
        <v>2.9691185130111535</v>
      </c>
    </row>
    <row r="6" spans="1:7" ht="15">
      <c r="A6" s="11" t="s">
        <v>264</v>
      </c>
      <c r="B6" s="11">
        <v>9.41</v>
      </c>
      <c r="C6" s="11">
        <v>0.27</v>
      </c>
      <c r="D6" s="9">
        <f>C6/$C$8*$D$8</f>
        <v>0.7026022304832714</v>
      </c>
      <c r="E6" s="9">
        <f>(B6+D6)*$D$1</f>
        <v>317.7581872862454</v>
      </c>
      <c r="F6" s="11">
        <v>322</v>
      </c>
      <c r="G6" s="39">
        <f>-E6+F6</f>
        <v>4.241812713754598</v>
      </c>
    </row>
    <row r="7" spans="1:7" ht="15">
      <c r="A7" s="28" t="s">
        <v>274</v>
      </c>
      <c r="B7" s="11">
        <v>50.78</v>
      </c>
      <c r="C7" s="11">
        <v>2.03</v>
      </c>
      <c r="D7" s="9">
        <f>C7/$C$8*$D$8</f>
        <v>5.282527881040892</v>
      </c>
      <c r="E7" s="9"/>
      <c r="F7" s="11"/>
      <c r="G7" s="39"/>
    </row>
    <row r="8" spans="1:7" ht="15">
      <c r="A8" s="41" t="s">
        <v>276</v>
      </c>
      <c r="B8" s="36"/>
      <c r="C8" s="41">
        <f>SUM(C4:C7)</f>
        <v>2.69</v>
      </c>
      <c r="D8" s="41">
        <v>7</v>
      </c>
      <c r="E8" s="36"/>
      <c r="F8" s="11"/>
      <c r="G8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41904</v>
      </c>
      <c r="C1" s="31" t="s">
        <v>252</v>
      </c>
      <c r="D1" s="48">
        <v>39.04</v>
      </c>
      <c r="E1" s="28" t="s">
        <v>253</v>
      </c>
    </row>
    <row r="2" s="28" customFormat="1" ht="15">
      <c r="A2" s="46" t="s">
        <v>515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106</v>
      </c>
      <c r="B4" s="94">
        <v>46.15</v>
      </c>
      <c r="C4" s="95">
        <v>1.51</v>
      </c>
      <c r="D4" s="9">
        <f>C4/$C$7*$D$7</f>
        <v>6.686346863468635</v>
      </c>
      <c r="E4" s="9">
        <f>(B4+D4)*$D$1</f>
        <v>2062.7309815498156</v>
      </c>
      <c r="F4" s="39">
        <v>2070</v>
      </c>
      <c r="G4" s="70">
        <f>-E4+F4</f>
        <v>7.269018450184376</v>
      </c>
    </row>
    <row r="5" spans="1:7" s="35" customFormat="1" ht="15">
      <c r="A5" s="9" t="s">
        <v>350</v>
      </c>
      <c r="B5" s="106">
        <v>4.13</v>
      </c>
      <c r="C5" s="107">
        <v>1.03</v>
      </c>
      <c r="D5" s="9">
        <f>C5/$C$7*$D$7</f>
        <v>4.560885608856089</v>
      </c>
      <c r="E5" s="9">
        <f>(B5+D5)*$D$1</f>
        <v>339.2921741697417</v>
      </c>
      <c r="F5" s="39"/>
      <c r="G5" s="70">
        <f>-E5+F5</f>
        <v>-339.2921741697417</v>
      </c>
    </row>
    <row r="6" spans="1:7" s="35" customFormat="1" ht="15">
      <c r="A6" s="100" t="s">
        <v>260</v>
      </c>
      <c r="B6" s="64">
        <v>25.85</v>
      </c>
      <c r="C6" s="64">
        <v>0.17</v>
      </c>
      <c r="D6" s="9">
        <f>C6/$C$7*$D$7</f>
        <v>0.7527675276752769</v>
      </c>
      <c r="E6" s="51"/>
      <c r="F6" s="52"/>
      <c r="G6" s="71"/>
    </row>
    <row r="7" spans="1:7" s="43" customFormat="1" ht="15">
      <c r="A7" s="41"/>
      <c r="B7" s="41"/>
      <c r="C7" s="41">
        <f>SUM(C4:C6)</f>
        <v>2.71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41907</v>
      </c>
      <c r="C1" s="31" t="s">
        <v>252</v>
      </c>
      <c r="D1" s="48">
        <v>39.39</v>
      </c>
      <c r="E1" s="28" t="s">
        <v>253</v>
      </c>
    </row>
    <row r="2" s="28" customFormat="1" ht="15">
      <c r="A2" s="46" t="s">
        <v>523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84</v>
      </c>
      <c r="B4" s="94">
        <v>20.27</v>
      </c>
      <c r="C4" s="95">
        <v>1.2</v>
      </c>
      <c r="D4" s="9">
        <f>C4/$C$7*$D$7</f>
        <v>5.353159851301115</v>
      </c>
      <c r="E4" s="9">
        <f>(B4+D4)*$D$1</f>
        <v>1009.2962665427509</v>
      </c>
      <c r="F4" s="39">
        <v>1011</v>
      </c>
      <c r="G4" s="70">
        <f>-E4+F4</f>
        <v>1.7037334572490863</v>
      </c>
    </row>
    <row r="5" spans="1:7" s="35" customFormat="1" ht="15">
      <c r="A5" s="9" t="s">
        <v>524</v>
      </c>
      <c r="B5" s="106">
        <v>56.3</v>
      </c>
      <c r="C5" s="107">
        <v>0.63</v>
      </c>
      <c r="D5" s="9">
        <f>C5/$C$7*$D$7</f>
        <v>2.8104089219330857</v>
      </c>
      <c r="E5" s="9">
        <f>(B5+D5)*$D$1</f>
        <v>2328.3590074349445</v>
      </c>
      <c r="F5" s="39">
        <f>2150+178</f>
        <v>2328</v>
      </c>
      <c r="G5" s="70">
        <f>-E5+F5</f>
        <v>-0.3590074349444876</v>
      </c>
    </row>
    <row r="6" spans="1:7" s="35" customFormat="1" ht="15">
      <c r="A6" s="100" t="s">
        <v>260</v>
      </c>
      <c r="B6" s="64">
        <v>17.12</v>
      </c>
      <c r="C6" s="64">
        <v>0.86</v>
      </c>
      <c r="D6" s="9">
        <f>C6/$C$7*$D$7</f>
        <v>3.836431226765799</v>
      </c>
      <c r="E6" s="51"/>
      <c r="F6" s="52"/>
      <c r="G6" s="71"/>
    </row>
    <row r="7" spans="1:7" s="43" customFormat="1" ht="15">
      <c r="A7" s="41"/>
      <c r="B7" s="41"/>
      <c r="C7" s="41">
        <f>SUM(C4:C6)</f>
        <v>2.69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41907</v>
      </c>
      <c r="C1" s="31" t="s">
        <v>252</v>
      </c>
      <c r="D1" s="48">
        <v>39.39</v>
      </c>
      <c r="E1" s="28" t="s">
        <v>253</v>
      </c>
    </row>
    <row r="2" s="28" customFormat="1" ht="15">
      <c r="A2" s="46" t="s">
        <v>523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525</v>
      </c>
      <c r="B4" s="94">
        <v>23.16</v>
      </c>
      <c r="C4" s="95">
        <v>0.32</v>
      </c>
      <c r="D4" s="9">
        <f>C4/$C$7*$D$7</f>
        <v>1.411764705882353</v>
      </c>
      <c r="E4" s="9">
        <f>(B4+D4)*$D$1</f>
        <v>967.8818117647058</v>
      </c>
      <c r="F4" s="39">
        <v>960</v>
      </c>
      <c r="G4" s="70">
        <f>-E4+F4</f>
        <v>-7.881811764705844</v>
      </c>
    </row>
    <row r="5" spans="1:7" s="35" customFormat="1" ht="15">
      <c r="A5" s="9" t="s">
        <v>519</v>
      </c>
      <c r="B5" s="106">
        <v>14.39</v>
      </c>
      <c r="C5" s="107">
        <v>0.57</v>
      </c>
      <c r="D5" s="9">
        <f>C5/$C$7*$D$7</f>
        <v>2.514705882352941</v>
      </c>
      <c r="E5" s="9">
        <f>(B5+D5)*$D$1</f>
        <v>665.8763647058825</v>
      </c>
      <c r="F5" s="39">
        <f>126+539</f>
        <v>665</v>
      </c>
      <c r="G5" s="70">
        <f>-E5+F5</f>
        <v>-0.8763647058824517</v>
      </c>
    </row>
    <row r="6" spans="1:7" s="35" customFormat="1" ht="15">
      <c r="A6" s="9" t="s">
        <v>526</v>
      </c>
      <c r="B6" s="94">
        <v>51.24</v>
      </c>
      <c r="C6" s="95">
        <v>1.83</v>
      </c>
      <c r="D6" s="9">
        <f>C6/$C$7*$D$7</f>
        <v>8.073529411764707</v>
      </c>
      <c r="E6" s="9">
        <f>(B6+D6)*$D$1</f>
        <v>2336.359923529412</v>
      </c>
      <c r="F6" s="39">
        <f>1000+1317+19</f>
        <v>2336</v>
      </c>
      <c r="G6" s="70">
        <f>-E6+F6</f>
        <v>-0.35992352941184436</v>
      </c>
    </row>
    <row r="7" spans="1:7" s="43" customFormat="1" ht="15">
      <c r="A7" s="41"/>
      <c r="B7" s="41"/>
      <c r="C7" s="41">
        <f>SUM(C4:C6)</f>
        <v>2.7199999999999998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E28" sqref="E28:E2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41907</v>
      </c>
      <c r="C1" s="31" t="s">
        <v>252</v>
      </c>
      <c r="D1" s="48">
        <v>39.39</v>
      </c>
      <c r="E1" s="28" t="s">
        <v>253</v>
      </c>
    </row>
    <row r="2" s="28" customFormat="1" ht="15">
      <c r="A2" s="46" t="s">
        <v>523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527</v>
      </c>
      <c r="B4" s="94">
        <v>5.39</v>
      </c>
      <c r="C4" s="95">
        <v>0.05</v>
      </c>
      <c r="D4" s="9">
        <f>C4/$C$9*$D$9</f>
        <v>0.22388059701492535</v>
      </c>
      <c r="E4" s="9">
        <f>(B4+D4)*$D$1</f>
        <v>221.1307567164179</v>
      </c>
      <c r="F4" s="39">
        <v>300</v>
      </c>
      <c r="G4" s="70">
        <f>-E4+F4</f>
        <v>78.86924328358211</v>
      </c>
    </row>
    <row r="5" spans="1:7" s="35" customFormat="1" ht="15">
      <c r="A5" s="9" t="s">
        <v>161</v>
      </c>
      <c r="B5" s="106">
        <v>5.824000000000001</v>
      </c>
      <c r="C5" s="107">
        <v>0.08</v>
      </c>
      <c r="D5" s="9">
        <f>C5/$C$9*$D$9</f>
        <v>0.3582089552238806</v>
      </c>
      <c r="E5" s="9">
        <f>(B5+D5)*$D$1</f>
        <v>243.5172107462687</v>
      </c>
      <c r="F5" s="39">
        <v>241</v>
      </c>
      <c r="G5" s="70">
        <f>-E5+F5</f>
        <v>-2.517210746268688</v>
      </c>
    </row>
    <row r="6" spans="1:7" s="35" customFormat="1" ht="15">
      <c r="A6" s="9" t="s">
        <v>230</v>
      </c>
      <c r="B6" s="106">
        <v>17.99</v>
      </c>
      <c r="C6" s="107">
        <v>1.26</v>
      </c>
      <c r="D6" s="9">
        <f>C6/$C$9*$D$9</f>
        <v>5.641791044776119</v>
      </c>
      <c r="E6" s="9">
        <f>(B6+D6)*$D$1</f>
        <v>930.8562492537313</v>
      </c>
      <c r="F6" s="39">
        <v>920</v>
      </c>
      <c r="G6" s="70">
        <f>-E6+F6</f>
        <v>-10.856249253731335</v>
      </c>
    </row>
    <row r="7" spans="1:7" s="35" customFormat="1" ht="15">
      <c r="A7" s="9" t="s">
        <v>96</v>
      </c>
      <c r="B7" s="94">
        <v>18.07</v>
      </c>
      <c r="C7" s="95">
        <v>0.38</v>
      </c>
      <c r="D7" s="9">
        <f>C7/$C$9*$D$9</f>
        <v>1.7014925373134329</v>
      </c>
      <c r="E7" s="9">
        <f>(B7+D7)*$D$1</f>
        <v>778.7990910447762</v>
      </c>
      <c r="F7" s="39">
        <v>772</v>
      </c>
      <c r="G7" s="70">
        <f>-E7+F7</f>
        <v>-6.799091044776219</v>
      </c>
    </row>
    <row r="8" spans="1:7" s="35" customFormat="1" ht="15">
      <c r="A8" s="100" t="s">
        <v>260</v>
      </c>
      <c r="B8" s="64">
        <v>42.15</v>
      </c>
      <c r="C8" s="64">
        <v>0.91</v>
      </c>
      <c r="D8" s="9">
        <f>C8/$C$9*$D$9</f>
        <v>4.074626865671641</v>
      </c>
      <c r="E8" s="51"/>
      <c r="F8" s="52"/>
      <c r="G8" s="71"/>
    </row>
    <row r="9" spans="1:7" s="43" customFormat="1" ht="15">
      <c r="A9" s="41"/>
      <c r="B9" s="41"/>
      <c r="C9" s="41">
        <f>SUM(C4:C8)</f>
        <v>2.68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/>
  <printOptions/>
  <pageMargins left="0.7" right="0.7" top="0.75" bottom="0.75" header="0.3" footer="0.3"/>
  <pageSetup orientation="portrait" paperSize="9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41910</v>
      </c>
      <c r="C1" s="31" t="s">
        <v>252</v>
      </c>
      <c r="D1" s="48">
        <v>40.22</v>
      </c>
      <c r="E1" s="28" t="s">
        <v>253</v>
      </c>
    </row>
    <row r="2" s="28" customFormat="1" ht="15">
      <c r="A2" s="46" t="s">
        <v>529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182</v>
      </c>
      <c r="B4" s="94">
        <v>1.9</v>
      </c>
      <c r="C4" s="95">
        <v>0.011</v>
      </c>
      <c r="D4" s="9">
        <f>C4/$C$7*$D$7</f>
        <v>0.04923535994032077</v>
      </c>
      <c r="E4" s="9">
        <f>(B4+D4)*$D$1</f>
        <v>78.3982461767997</v>
      </c>
      <c r="F4" s="39">
        <f>77+6</f>
        <v>83</v>
      </c>
      <c r="G4" s="70">
        <f>-E4+F4</f>
        <v>4.601753823200298</v>
      </c>
    </row>
    <row r="5" spans="1:7" s="35" customFormat="1" ht="15">
      <c r="A5" s="9" t="s">
        <v>530</v>
      </c>
      <c r="B5" s="106">
        <v>78.6</v>
      </c>
      <c r="C5" s="107">
        <v>1.51</v>
      </c>
      <c r="D5" s="9">
        <f>C5/$C$7*$D$7</f>
        <v>6.7586721372622165</v>
      </c>
      <c r="E5" s="9">
        <f>(B5+D5)*$D$1</f>
        <v>3433.1257933606857</v>
      </c>
      <c r="F5" s="39">
        <v>4584</v>
      </c>
      <c r="G5" s="70">
        <f>-E5+F5</f>
        <v>1150.8742066393143</v>
      </c>
    </row>
    <row r="6" spans="1:7" s="35" customFormat="1" ht="15">
      <c r="A6" s="100" t="s">
        <v>260</v>
      </c>
      <c r="B6" s="64">
        <v>17.82</v>
      </c>
      <c r="C6" s="107">
        <v>1.16</v>
      </c>
      <c r="D6" s="9">
        <f>C6/$C$7*$D$7</f>
        <v>5.192092502797463</v>
      </c>
      <c r="E6" s="51"/>
      <c r="F6" s="52"/>
      <c r="G6" s="71"/>
    </row>
    <row r="7" spans="1:7" s="43" customFormat="1" ht="15">
      <c r="A7" s="41"/>
      <c r="B7" s="41"/>
      <c r="C7" s="41">
        <f>SUM(C4:C6)</f>
        <v>2.681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41910</v>
      </c>
      <c r="C1" s="31" t="s">
        <v>252</v>
      </c>
      <c r="D1" s="48">
        <v>40.22</v>
      </c>
      <c r="E1" s="28" t="s">
        <v>253</v>
      </c>
    </row>
    <row r="2" s="28" customFormat="1" ht="15">
      <c r="A2" s="46" t="s">
        <v>529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69</v>
      </c>
      <c r="B4" s="94">
        <v>16.89</v>
      </c>
      <c r="C4" s="95">
        <v>1.59</v>
      </c>
      <c r="D4" s="9">
        <f>C4/$C$8*$D$8</f>
        <v>7.119402985074627</v>
      </c>
      <c r="E4" s="9">
        <f>(B4+D4)*$D$1</f>
        <v>965.6581880597016</v>
      </c>
      <c r="F4" s="39">
        <v>949</v>
      </c>
      <c r="G4" s="70">
        <f>-E4+F4</f>
        <v>-16.658188059701615</v>
      </c>
    </row>
    <row r="5" spans="1:7" s="35" customFormat="1" ht="15">
      <c r="A5" s="9" t="s">
        <v>531</v>
      </c>
      <c r="B5" s="106">
        <v>7.04</v>
      </c>
      <c r="C5" s="107">
        <v>0.08</v>
      </c>
      <c r="D5" s="9">
        <f>C5/$C$8*$D$8</f>
        <v>0.3582089552238806</v>
      </c>
      <c r="E5" s="9">
        <f>(B5+D5)*$D$1</f>
        <v>297.5559641791045</v>
      </c>
      <c r="F5" s="39">
        <v>293</v>
      </c>
      <c r="G5" s="70">
        <f>-E5+F5</f>
        <v>-4.555964179104478</v>
      </c>
    </row>
    <row r="6" spans="1:7" s="35" customFormat="1" ht="15">
      <c r="A6" s="9" t="s">
        <v>372</v>
      </c>
      <c r="B6" s="106">
        <v>45.24</v>
      </c>
      <c r="C6" s="107">
        <v>0.62</v>
      </c>
      <c r="D6" s="9">
        <f>C6/$C$8*$D$8</f>
        <v>2.776119402985074</v>
      </c>
      <c r="E6" s="9">
        <f>(B6+D6)*$D$1</f>
        <v>1931.2083223880597</v>
      </c>
      <c r="F6" s="39">
        <v>1897</v>
      </c>
      <c r="G6" s="70">
        <f>-E6+F6</f>
        <v>-34.20832238805974</v>
      </c>
    </row>
    <row r="7" spans="1:7" s="35" customFormat="1" ht="15">
      <c r="A7" s="100" t="s">
        <v>260</v>
      </c>
      <c r="B7" s="64">
        <v>28.15</v>
      </c>
      <c r="C7" s="64">
        <v>0.39</v>
      </c>
      <c r="D7" s="9">
        <f>C7/$C$8*$D$8</f>
        <v>1.7462686567164178</v>
      </c>
      <c r="E7" s="51"/>
      <c r="F7" s="52"/>
      <c r="G7" s="71"/>
    </row>
    <row r="8" spans="1:7" s="43" customFormat="1" ht="15">
      <c r="A8" s="41"/>
      <c r="B8" s="41"/>
      <c r="C8" s="41">
        <f>SUM(C4:C7)</f>
        <v>2.68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41910</v>
      </c>
      <c r="C1" s="31" t="s">
        <v>252</v>
      </c>
      <c r="D1" s="48">
        <v>40.22</v>
      </c>
      <c r="E1" s="28" t="s">
        <v>253</v>
      </c>
    </row>
    <row r="2" s="28" customFormat="1" ht="15">
      <c r="A2" s="46" t="s">
        <v>529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530</v>
      </c>
      <c r="B4" s="94">
        <v>28.18</v>
      </c>
      <c r="C4" s="95">
        <v>0.57</v>
      </c>
      <c r="D4" s="9">
        <f>C4/$C$8*$D$8</f>
        <v>2.523985239852398</v>
      </c>
      <c r="E4" s="9">
        <f>(B4+D4)*$D$1</f>
        <v>1234.9142863468633</v>
      </c>
      <c r="F4" s="39"/>
      <c r="G4" s="70">
        <f>-E4+F4</f>
        <v>-1234.9142863468633</v>
      </c>
    </row>
    <row r="5" spans="1:7" s="35" customFormat="1" ht="15">
      <c r="A5" s="9" t="s">
        <v>216</v>
      </c>
      <c r="B5" s="106">
        <v>49.01</v>
      </c>
      <c r="C5" s="107">
        <v>0.86</v>
      </c>
      <c r="D5" s="9">
        <f>C5/$C$8*$D$8</f>
        <v>3.8081180811808117</v>
      </c>
      <c r="E5" s="9">
        <f>(B5+D5)*$D$1</f>
        <v>2124.344709225092</v>
      </c>
      <c r="F5" s="39">
        <v>2086</v>
      </c>
      <c r="G5" s="70">
        <f>-E5+F5</f>
        <v>-38.344709225092174</v>
      </c>
    </row>
    <row r="6" spans="1:7" s="35" customFormat="1" ht="15">
      <c r="A6" s="9" t="s">
        <v>184</v>
      </c>
      <c r="B6" s="106">
        <v>10.31</v>
      </c>
      <c r="C6" s="107">
        <v>0.42</v>
      </c>
      <c r="D6" s="9">
        <f>C6/$C$8*$D$8</f>
        <v>1.8597785977859775</v>
      </c>
      <c r="E6" s="9">
        <f>(B6+D6)*$D$1</f>
        <v>489.468495202952</v>
      </c>
      <c r="F6" s="39">
        <v>481</v>
      </c>
      <c r="G6" s="70">
        <f>-E6+F6</f>
        <v>-8.468495202951999</v>
      </c>
    </row>
    <row r="7" spans="1:7" s="35" customFormat="1" ht="15">
      <c r="A7" s="100" t="s">
        <v>260</v>
      </c>
      <c r="B7" s="64">
        <v>11.1</v>
      </c>
      <c r="C7" s="64">
        <v>0.86</v>
      </c>
      <c r="D7" s="9">
        <f>C7/$C$8*$D$8</f>
        <v>3.8081180811808117</v>
      </c>
      <c r="E7" s="51"/>
      <c r="F7" s="52"/>
      <c r="G7" s="71"/>
    </row>
    <row r="8" spans="1:7" s="43" customFormat="1" ht="15">
      <c r="A8" s="41"/>
      <c r="B8" s="41"/>
      <c r="C8" s="41">
        <f>SUM(C4:C7)</f>
        <v>2.71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41919</v>
      </c>
      <c r="C1" s="31" t="s">
        <v>252</v>
      </c>
      <c r="D1" s="48">
        <v>40.9</v>
      </c>
      <c r="E1" s="28" t="s">
        <v>253</v>
      </c>
    </row>
    <row r="2" s="28" customFormat="1" ht="15">
      <c r="A2" s="46" t="s">
        <v>536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127</v>
      </c>
      <c r="B4" s="94">
        <v>72.22</v>
      </c>
      <c r="C4" s="95">
        <v>1.29</v>
      </c>
      <c r="D4" s="9">
        <f>C4/$C$7*$D$7</f>
        <v>5.712177121771218</v>
      </c>
      <c r="E4" s="9">
        <f>(B4+D4)*$D$1</f>
        <v>3187.4260442804425</v>
      </c>
      <c r="F4" s="39">
        <v>4997</v>
      </c>
      <c r="G4" s="70">
        <f>-E4+F4</f>
        <v>1809.5739557195575</v>
      </c>
    </row>
    <row r="5" spans="1:7" s="35" customFormat="1" ht="15">
      <c r="A5" s="9" t="s">
        <v>495</v>
      </c>
      <c r="B5" s="106">
        <v>17.35</v>
      </c>
      <c r="C5" s="107">
        <v>0.95</v>
      </c>
      <c r="D5" s="9">
        <f>C5/$C$7*$D$7</f>
        <v>4.206642066420664</v>
      </c>
      <c r="E5" s="9">
        <f>(B5+D5)*$D$1</f>
        <v>881.6666605166051</v>
      </c>
      <c r="F5" s="39">
        <f>881+2</f>
        <v>883</v>
      </c>
      <c r="G5" s="70">
        <f>-E5+F5</f>
        <v>1.333339483394866</v>
      </c>
    </row>
    <row r="6" spans="1:7" s="35" customFormat="1" ht="15">
      <c r="A6" s="100" t="s">
        <v>260</v>
      </c>
      <c r="B6" s="64">
        <v>10.22</v>
      </c>
      <c r="C6" s="107">
        <v>0.47</v>
      </c>
      <c r="D6" s="9">
        <f>C6/$C$7*$D$7</f>
        <v>2.081180811808118</v>
      </c>
      <c r="E6" s="51"/>
      <c r="F6" s="52"/>
      <c r="G6" s="71"/>
    </row>
    <row r="7" spans="1:7" s="43" customFormat="1" ht="15">
      <c r="A7" s="41"/>
      <c r="B7" s="41"/>
      <c r="C7" s="41">
        <f>SUM(C4:C6)</f>
        <v>2.71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41920</v>
      </c>
      <c r="C1" s="31" t="s">
        <v>252</v>
      </c>
      <c r="D1" s="48">
        <v>40.9</v>
      </c>
      <c r="E1" s="28" t="s">
        <v>253</v>
      </c>
    </row>
    <row r="2" s="28" customFormat="1" ht="15">
      <c r="A2" s="46" t="s">
        <v>537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00" t="s">
        <v>127</v>
      </c>
      <c r="B4" s="94">
        <v>36.45</v>
      </c>
      <c r="C4" s="95">
        <v>1.81</v>
      </c>
      <c r="D4" s="9">
        <f>C4/$C$7*$D$7</f>
        <v>8.074349442379182</v>
      </c>
      <c r="E4" s="9">
        <f>(B4+D4)*$D$1</f>
        <v>1821.0458921933084</v>
      </c>
      <c r="F4" s="39"/>
      <c r="G4" s="70">
        <f>-E4+F4</f>
        <v>-1821.0458921933084</v>
      </c>
    </row>
    <row r="5" spans="1:7" s="35" customFormat="1" ht="15">
      <c r="A5" s="100" t="s">
        <v>538</v>
      </c>
      <c r="B5" s="112">
        <v>16.67</v>
      </c>
      <c r="C5" s="112">
        <v>0.08</v>
      </c>
      <c r="D5" s="9">
        <f>C5/$C$7*$D$7</f>
        <v>0.3568773234200743</v>
      </c>
      <c r="E5" s="9">
        <f>(B5+D5)*$D$1</f>
        <v>696.3992825278812</v>
      </c>
      <c r="F5" s="39">
        <f>648+48</f>
        <v>696</v>
      </c>
      <c r="G5" s="70">
        <f>-E5+F5</f>
        <v>-0.39928252788115515</v>
      </c>
    </row>
    <row r="6" spans="1:7" s="35" customFormat="1" ht="15">
      <c r="A6" s="100" t="s">
        <v>260</v>
      </c>
      <c r="B6" s="64">
        <v>45.77</v>
      </c>
      <c r="C6" s="64">
        <v>0.8</v>
      </c>
      <c r="D6" s="9">
        <f>C6/$C$7*$D$7</f>
        <v>3.568773234200743</v>
      </c>
      <c r="E6" s="51"/>
      <c r="F6" s="52"/>
      <c r="G6" s="71"/>
    </row>
    <row r="7" spans="1:7" s="43" customFormat="1" ht="15">
      <c r="A7" s="41"/>
      <c r="B7" s="41"/>
      <c r="C7" s="41">
        <f>SUM(C4:C6)</f>
        <v>2.6900000000000004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PageLayoutView="0" workbookViewId="0" topLeftCell="A1">
      <selection activeCell="A8" sqref="A8: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41920</v>
      </c>
      <c r="C1" s="31" t="s">
        <v>252</v>
      </c>
      <c r="D1" s="48">
        <v>40.9</v>
      </c>
      <c r="E1" s="28" t="s">
        <v>253</v>
      </c>
    </row>
    <row r="2" s="28" customFormat="1" ht="15">
      <c r="A2" s="46" t="s">
        <v>537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00" t="s">
        <v>106</v>
      </c>
      <c r="B4" s="94">
        <v>78.72</v>
      </c>
      <c r="C4" s="95">
        <v>0.96</v>
      </c>
      <c r="D4" s="9">
        <f>C4/$C$6*$D$6</f>
        <v>4.235294117647059</v>
      </c>
      <c r="E4" s="9">
        <f>(B4+D4)*$D$1</f>
        <v>3392.8715294117646</v>
      </c>
      <c r="F4" s="39">
        <v>3383</v>
      </c>
      <c r="G4" s="70">
        <f>-E4+F4</f>
        <v>-9.87152941176464</v>
      </c>
    </row>
    <row r="5" spans="1:7" s="35" customFormat="1" ht="15">
      <c r="A5" s="100" t="s">
        <v>260</v>
      </c>
      <c r="B5" s="64">
        <v>18.77</v>
      </c>
      <c r="C5" s="64">
        <v>1.76</v>
      </c>
      <c r="D5" s="9">
        <f>C5/$C$6*$D$6</f>
        <v>7.764705882352942</v>
      </c>
      <c r="E5" s="51"/>
      <c r="F5" s="52"/>
      <c r="G5" s="71"/>
    </row>
    <row r="6" spans="1:7" s="43" customFormat="1" ht="15">
      <c r="A6" s="41"/>
      <c r="B6" s="41"/>
      <c r="C6" s="41">
        <f>SUM(C4:C5)</f>
        <v>2.7199999999999998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G5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41234</v>
      </c>
      <c r="C1" s="31" t="s">
        <v>252</v>
      </c>
      <c r="D1" s="32">
        <v>31.133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53</v>
      </c>
      <c r="B4" s="9">
        <v>63.96</v>
      </c>
      <c r="C4" s="9">
        <v>1.82</v>
      </c>
      <c r="D4" s="9">
        <v>5</v>
      </c>
      <c r="E4" s="9">
        <f>(B4+D4)*$D$1</f>
        <v>2146.93168</v>
      </c>
      <c r="F4" s="39">
        <v>6172</v>
      </c>
      <c r="G4" s="39">
        <f>-E4+F4</f>
        <v>4025.06832</v>
      </c>
    </row>
    <row r="5" spans="1:7" ht="15">
      <c r="A5" s="41" t="s">
        <v>276</v>
      </c>
      <c r="B5" s="36"/>
      <c r="C5" s="41">
        <f>SUM(C4:C4)</f>
        <v>1.82</v>
      </c>
      <c r="D5" s="41">
        <v>5</v>
      </c>
      <c r="E5" s="36"/>
      <c r="F5" s="11"/>
      <c r="G5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41920</v>
      </c>
      <c r="C1" s="31" t="s">
        <v>252</v>
      </c>
      <c r="D1" s="48">
        <v>40.9</v>
      </c>
      <c r="E1" s="28" t="s">
        <v>253</v>
      </c>
    </row>
    <row r="2" s="28" customFormat="1" ht="15">
      <c r="A2" s="46" t="s">
        <v>537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497</v>
      </c>
      <c r="B4" s="94">
        <v>34.92</v>
      </c>
      <c r="C4" s="95">
        <v>0.62</v>
      </c>
      <c r="D4" s="9">
        <f>C4/$C$7*$D$7</f>
        <v>2.745387453874539</v>
      </c>
      <c r="E4" s="9">
        <f>(B4+D4)*$D$1</f>
        <v>1540.5143468634687</v>
      </c>
      <c r="F4" s="39">
        <f>1538+4</f>
        <v>1542</v>
      </c>
      <c r="G4" s="70">
        <f>-E4+F4</f>
        <v>1.4856531365312549</v>
      </c>
    </row>
    <row r="5" spans="1:7" s="35" customFormat="1" ht="15">
      <c r="A5" s="9" t="s">
        <v>539</v>
      </c>
      <c r="B5" s="106">
        <v>25.93</v>
      </c>
      <c r="C5" s="107">
        <v>0.27</v>
      </c>
      <c r="D5" s="9">
        <f>C5/$C$7*$D$7</f>
        <v>1.1955719557195574</v>
      </c>
      <c r="E5" s="9">
        <f>(B5+D5)*$D$1</f>
        <v>1109.43589298893</v>
      </c>
      <c r="F5" s="39">
        <v>1106</v>
      </c>
      <c r="G5" s="70">
        <f>-E5+F5</f>
        <v>-3.435892988929936</v>
      </c>
    </row>
    <row r="6" spans="1:7" s="35" customFormat="1" ht="15">
      <c r="A6" s="100" t="s">
        <v>260</v>
      </c>
      <c r="B6" s="64">
        <v>28.14</v>
      </c>
      <c r="C6" s="64">
        <v>1.82</v>
      </c>
      <c r="D6" s="9">
        <f>C6/$C$7*$D$7</f>
        <v>8.059040590405903</v>
      </c>
      <c r="E6" s="51"/>
      <c r="F6" s="52"/>
      <c r="G6" s="71"/>
    </row>
    <row r="7" spans="1:7" s="43" customFormat="1" ht="15">
      <c r="A7" s="41"/>
      <c r="B7" s="41"/>
      <c r="C7" s="41">
        <f>SUM(C4:C6)</f>
        <v>2.71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/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41920</v>
      </c>
      <c r="C1" s="31" t="s">
        <v>252</v>
      </c>
      <c r="D1" s="48">
        <v>40.9</v>
      </c>
      <c r="E1" s="28" t="s">
        <v>253</v>
      </c>
    </row>
    <row r="2" s="28" customFormat="1" ht="15">
      <c r="A2" s="46" t="s">
        <v>537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126</v>
      </c>
      <c r="B4" s="94">
        <v>26.95</v>
      </c>
      <c r="C4" s="95">
        <v>1.59</v>
      </c>
      <c r="D4" s="9">
        <f>C4/$C$8*$D$8</f>
        <v>7.066666666666668</v>
      </c>
      <c r="E4" s="9">
        <f>(B4+D4)*$D$1</f>
        <v>1391.2816666666665</v>
      </c>
      <c r="F4" s="39">
        <v>1386</v>
      </c>
      <c r="G4" s="70">
        <f>-E4+F4</f>
        <v>-5.281666666666524</v>
      </c>
    </row>
    <row r="5" spans="1:7" s="35" customFormat="1" ht="15">
      <c r="A5" s="9" t="s">
        <v>540</v>
      </c>
      <c r="B5" s="106">
        <v>28.11</v>
      </c>
      <c r="C5" s="107">
        <v>0.76</v>
      </c>
      <c r="D5" s="9">
        <f>C5/$C$8*$D$8</f>
        <v>3.377777777777778</v>
      </c>
      <c r="E5" s="9">
        <f>(B5+D5)*$D$1</f>
        <v>1287.8501111111111</v>
      </c>
      <c r="F5" s="39">
        <f>100+1184</f>
        <v>1284</v>
      </c>
      <c r="G5" s="70">
        <f>-E5+F5</f>
        <v>-3.8501111111111186</v>
      </c>
    </row>
    <row r="6" spans="1:7" s="35" customFormat="1" ht="15">
      <c r="A6" s="9" t="s">
        <v>541</v>
      </c>
      <c r="B6" s="106">
        <v>28.7</v>
      </c>
      <c r="C6" s="107">
        <v>0.24</v>
      </c>
      <c r="D6" s="9">
        <f>C6/$C$8*$D$8</f>
        <v>1.0666666666666667</v>
      </c>
      <c r="E6" s="9">
        <f>(B6+D6)*$D$1</f>
        <v>1217.4566666666665</v>
      </c>
      <c r="F6" s="39">
        <v>1214</v>
      </c>
      <c r="G6" s="70">
        <f>-E6+F6</f>
        <v>-3.4566666666664787</v>
      </c>
    </row>
    <row r="7" spans="1:7" s="35" customFormat="1" ht="15">
      <c r="A7" s="100" t="s">
        <v>260</v>
      </c>
      <c r="B7" s="64">
        <v>7.99</v>
      </c>
      <c r="C7" s="64">
        <v>0.11</v>
      </c>
      <c r="D7" s="9">
        <f>C7/$C$8*$D$8</f>
        <v>0.48888888888888893</v>
      </c>
      <c r="E7" s="51"/>
      <c r="F7" s="52"/>
      <c r="G7" s="71"/>
    </row>
    <row r="8" spans="1:7" s="43" customFormat="1" ht="15">
      <c r="A8" s="41"/>
      <c r="B8" s="41"/>
      <c r="C8" s="41">
        <f>SUM(C4:C7)</f>
        <v>2.6999999999999997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41925</v>
      </c>
      <c r="C1" s="31" t="s">
        <v>252</v>
      </c>
      <c r="D1" s="48">
        <v>41.64</v>
      </c>
      <c r="E1" s="28" t="s">
        <v>253</v>
      </c>
    </row>
    <row r="2" s="28" customFormat="1" ht="15">
      <c r="A2" s="46" t="s">
        <v>547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548</v>
      </c>
      <c r="B4" s="94">
        <v>3.87</v>
      </c>
      <c r="C4" s="95">
        <v>0.64</v>
      </c>
      <c r="D4" s="9">
        <f>C4/$C$7*$D$7</f>
        <v>2.833948339483395</v>
      </c>
      <c r="E4" s="9">
        <f>(B4+D4)*$D$1</f>
        <v>279.1524088560886</v>
      </c>
      <c r="F4" s="39">
        <v>273</v>
      </c>
      <c r="G4" s="70">
        <f>-E4+F4</f>
        <v>-6.152408856088584</v>
      </c>
    </row>
    <row r="5" spans="1:7" s="35" customFormat="1" ht="15">
      <c r="A5" s="9" t="s">
        <v>56</v>
      </c>
      <c r="B5" s="106">
        <v>79.77</v>
      </c>
      <c r="C5" s="107">
        <v>1.75</v>
      </c>
      <c r="D5" s="9">
        <f>C5/$C$7*$D$7</f>
        <v>7.7490774907749085</v>
      </c>
      <c r="E5" s="9">
        <f>(B5+D5)*$D$1</f>
        <v>3644.294386715867</v>
      </c>
      <c r="F5" s="39">
        <v>3000</v>
      </c>
      <c r="G5" s="70">
        <f>-E5+F5</f>
        <v>-644.294386715867</v>
      </c>
    </row>
    <row r="6" spans="1:7" s="35" customFormat="1" ht="15">
      <c r="A6" s="100" t="s">
        <v>260</v>
      </c>
      <c r="B6" s="64">
        <v>14.12</v>
      </c>
      <c r="C6" s="64">
        <v>0.32</v>
      </c>
      <c r="D6" s="9">
        <f>C6/$C$7*$D$7</f>
        <v>1.4169741697416975</v>
      </c>
      <c r="E6" s="51"/>
      <c r="F6" s="52"/>
      <c r="G6" s="71"/>
    </row>
    <row r="7" spans="1:7" s="43" customFormat="1" ht="15">
      <c r="A7" s="41"/>
      <c r="B7" s="41"/>
      <c r="C7" s="41">
        <f>SUM(C4:C6)</f>
        <v>2.71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41925</v>
      </c>
      <c r="C1" s="31" t="s">
        <v>252</v>
      </c>
      <c r="D1" s="48">
        <v>41.64</v>
      </c>
      <c r="E1" s="28" t="s">
        <v>253</v>
      </c>
    </row>
    <row r="2" s="28" customFormat="1" ht="15">
      <c r="A2" s="46" t="s">
        <v>547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56</v>
      </c>
      <c r="B4" s="94">
        <v>40.92</v>
      </c>
      <c r="C4" s="95">
        <v>0.8</v>
      </c>
      <c r="D4" s="9">
        <f aca="true" t="shared" si="0" ref="D4:D10">C4/$C$11*$D$11</f>
        <v>3.5424354243542435</v>
      </c>
      <c r="E4" s="9">
        <f aca="true" t="shared" si="1" ref="E4:E9">(B4+D4)*$D$1</f>
        <v>1851.415811070111</v>
      </c>
      <c r="F4" s="39">
        <f>2369+126</f>
        <v>2495</v>
      </c>
      <c r="G4" s="70">
        <f aca="true" t="shared" si="2" ref="G4:G9">-E4+F4</f>
        <v>643.584188929889</v>
      </c>
    </row>
    <row r="5" spans="1:7" s="35" customFormat="1" ht="15">
      <c r="A5" s="9" t="s">
        <v>268</v>
      </c>
      <c r="B5" s="106">
        <v>5.39</v>
      </c>
      <c r="C5" s="107">
        <v>0.62</v>
      </c>
      <c r="D5" s="9">
        <f t="shared" si="0"/>
        <v>2.745387453874539</v>
      </c>
      <c r="E5" s="9">
        <f t="shared" si="1"/>
        <v>338.7575335793358</v>
      </c>
      <c r="F5" s="39">
        <f>334+6</f>
        <v>340</v>
      </c>
      <c r="G5" s="70">
        <f t="shared" si="2"/>
        <v>1.2424664206641864</v>
      </c>
    </row>
    <row r="6" spans="1:7" s="35" customFormat="1" ht="15">
      <c r="A6" s="9" t="s">
        <v>127</v>
      </c>
      <c r="B6" s="106">
        <v>3.81</v>
      </c>
      <c r="C6" s="107">
        <v>0.24</v>
      </c>
      <c r="D6" s="9">
        <f t="shared" si="0"/>
        <v>1.0627306273062729</v>
      </c>
      <c r="E6" s="9">
        <f t="shared" si="1"/>
        <v>202.90050332103323</v>
      </c>
      <c r="F6" s="39">
        <f>200+17</f>
        <v>217</v>
      </c>
      <c r="G6" s="70">
        <f t="shared" si="2"/>
        <v>14.099496678966773</v>
      </c>
    </row>
    <row r="7" spans="1:7" s="35" customFormat="1" ht="15">
      <c r="A7" s="9" t="s">
        <v>162</v>
      </c>
      <c r="B7" s="94">
        <v>9.47</v>
      </c>
      <c r="C7" s="95">
        <v>0.2</v>
      </c>
      <c r="D7" s="9">
        <f t="shared" si="0"/>
        <v>0.8856088560885609</v>
      </c>
      <c r="E7" s="9">
        <f t="shared" si="1"/>
        <v>431.2075527675277</v>
      </c>
      <c r="F7" s="39">
        <v>416</v>
      </c>
      <c r="G7" s="70">
        <f t="shared" si="2"/>
        <v>-15.207552767527716</v>
      </c>
    </row>
    <row r="8" spans="1:7" s="35" customFormat="1" ht="15">
      <c r="A8" s="9" t="s">
        <v>549</v>
      </c>
      <c r="B8" s="106">
        <v>8.29</v>
      </c>
      <c r="C8" s="107">
        <v>0.27</v>
      </c>
      <c r="D8" s="9">
        <f t="shared" si="0"/>
        <v>1.1955719557195574</v>
      </c>
      <c r="E8" s="9">
        <f t="shared" si="1"/>
        <v>394.97921623616236</v>
      </c>
      <c r="F8" s="39">
        <v>389</v>
      </c>
      <c r="G8" s="70">
        <f t="shared" si="2"/>
        <v>-5.979216236162358</v>
      </c>
    </row>
    <row r="9" spans="1:7" s="35" customFormat="1" ht="15">
      <c r="A9" s="100" t="s">
        <v>246</v>
      </c>
      <c r="B9" s="106">
        <v>5.39</v>
      </c>
      <c r="C9" s="107">
        <v>0.19</v>
      </c>
      <c r="D9" s="9">
        <f t="shared" si="0"/>
        <v>0.841328413284133</v>
      </c>
      <c r="E9" s="9">
        <f t="shared" si="1"/>
        <v>259.4725151291513</v>
      </c>
      <c r="F9" s="39">
        <f>256+7</f>
        <v>263</v>
      </c>
      <c r="G9" s="70">
        <f t="shared" si="2"/>
        <v>3.5274848708486957</v>
      </c>
    </row>
    <row r="10" spans="1:7" s="35" customFormat="1" ht="15">
      <c r="A10" s="100" t="s">
        <v>260</v>
      </c>
      <c r="B10" s="64">
        <v>20.66</v>
      </c>
      <c r="C10" s="64">
        <v>0.39</v>
      </c>
      <c r="D10" s="9">
        <f t="shared" si="0"/>
        <v>1.7269372693726937</v>
      </c>
      <c r="E10" s="51"/>
      <c r="F10" s="52"/>
      <c r="G10" s="71"/>
    </row>
    <row r="11" spans="1:7" s="43" customFormat="1" ht="15">
      <c r="A11" s="41"/>
      <c r="B11" s="41"/>
      <c r="C11" s="41">
        <f>SUM(C4:C10)</f>
        <v>2.71</v>
      </c>
      <c r="D11" s="41">
        <v>12</v>
      </c>
      <c r="E11" s="41"/>
      <c r="F11" s="41"/>
      <c r="G11" s="41"/>
    </row>
    <row r="13" ht="31.5">
      <c r="A13" s="49"/>
    </row>
    <row r="14" ht="31.5">
      <c r="A14" s="49"/>
    </row>
  </sheetData>
  <sheetProtection/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41925</v>
      </c>
      <c r="C1" s="31" t="s">
        <v>252</v>
      </c>
      <c r="D1" s="48">
        <v>41.64</v>
      </c>
      <c r="E1" s="28" t="s">
        <v>253</v>
      </c>
    </row>
    <row r="2" s="28" customFormat="1" ht="15">
      <c r="A2" s="46" t="s">
        <v>547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143</v>
      </c>
      <c r="B4" s="94">
        <v>45.5</v>
      </c>
      <c r="C4" s="95">
        <v>0.83</v>
      </c>
      <c r="D4" s="9">
        <f>C4/$C$8*$D$8</f>
        <v>3.7164179104477597</v>
      </c>
      <c r="E4" s="9">
        <f>(B4+D4)*$D$1</f>
        <v>2049.3716417910446</v>
      </c>
      <c r="F4" s="39">
        <v>2050</v>
      </c>
      <c r="G4" s="70">
        <f>-E4+F4</f>
        <v>0.6283582089554329</v>
      </c>
    </row>
    <row r="5" spans="1:7" s="35" customFormat="1" ht="15">
      <c r="A5" s="9" t="s">
        <v>550</v>
      </c>
      <c r="B5" s="106">
        <v>24.36</v>
      </c>
      <c r="C5" s="107">
        <v>0.2</v>
      </c>
      <c r="D5" s="9">
        <f>C5/$C$8*$D$8</f>
        <v>0.8955223880597014</v>
      </c>
      <c r="E5" s="9">
        <f>(B5+D5)*$D$1</f>
        <v>1051.639952238806</v>
      </c>
      <c r="F5" s="39">
        <f>1036+5</f>
        <v>1041</v>
      </c>
      <c r="G5" s="70">
        <f>-E5+F5</f>
        <v>-10.639952238806018</v>
      </c>
    </row>
    <row r="6" spans="1:7" s="35" customFormat="1" ht="15">
      <c r="A6" s="9" t="s">
        <v>551</v>
      </c>
      <c r="B6" s="106">
        <v>54.73</v>
      </c>
      <c r="C6" s="107">
        <v>1.12</v>
      </c>
      <c r="D6" s="9">
        <f>C6/$C$8*$D$8</f>
        <v>5.014925373134328</v>
      </c>
      <c r="E6" s="9">
        <f>(B6+D6)*$D$1</f>
        <v>2487.7786925373134</v>
      </c>
      <c r="F6" s="39">
        <v>18500</v>
      </c>
      <c r="G6" s="70">
        <f>-E6+F6</f>
        <v>16012.221307462687</v>
      </c>
    </row>
    <row r="7" spans="1:7" s="35" customFormat="1" ht="15">
      <c r="A7" s="100" t="s">
        <v>260</v>
      </c>
      <c r="B7" s="64">
        <v>5.6</v>
      </c>
      <c r="C7" s="64">
        <v>0.53</v>
      </c>
      <c r="D7" s="9">
        <f>C7/$C$8*$D$8</f>
        <v>2.3731343283582085</v>
      </c>
      <c r="E7" s="51"/>
      <c r="F7" s="52"/>
      <c r="G7" s="71"/>
    </row>
    <row r="8" spans="1:7" s="43" customFormat="1" ht="15">
      <c r="A8" s="41"/>
      <c r="B8" s="41"/>
      <c r="C8" s="41">
        <f>SUM(C4:C7)</f>
        <v>2.6800000000000006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</sheetData>
  <sheetProtection/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41925</v>
      </c>
      <c r="C1" s="31" t="s">
        <v>252</v>
      </c>
      <c r="D1" s="48">
        <v>41.64</v>
      </c>
      <c r="E1" s="28" t="s">
        <v>253</v>
      </c>
    </row>
    <row r="2" s="28" customFormat="1" ht="15">
      <c r="A2" s="46" t="s">
        <v>547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551</v>
      </c>
      <c r="B4" s="94">
        <v>96.88</v>
      </c>
      <c r="C4" s="95">
        <v>1.7999999999999998</v>
      </c>
      <c r="D4" s="9">
        <f>C4/$C$5*$D$5</f>
        <v>10</v>
      </c>
      <c r="E4" s="9">
        <f>(B4+D4)*$D$1</f>
        <v>4450.4832</v>
      </c>
      <c r="F4" s="39"/>
      <c r="G4" s="70">
        <f>-E4+F4</f>
        <v>-4450.4832</v>
      </c>
    </row>
    <row r="5" spans="1:7" s="43" customFormat="1" ht="15">
      <c r="A5" s="41"/>
      <c r="B5" s="41"/>
      <c r="C5" s="41">
        <f>SUM(C4:C4)</f>
        <v>1.7999999999999998</v>
      </c>
      <c r="D5" s="41">
        <v>10</v>
      </c>
      <c r="E5" s="41"/>
      <c r="F5" s="41"/>
      <c r="G5" s="41"/>
    </row>
    <row r="7" ht="31.5">
      <c r="A7" s="49"/>
    </row>
    <row r="8" ht="31.5">
      <c r="A8" s="49"/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41925</v>
      </c>
      <c r="C1" s="31" t="s">
        <v>252</v>
      </c>
      <c r="D1" s="48">
        <v>41.64</v>
      </c>
      <c r="E1" s="28" t="s">
        <v>253</v>
      </c>
    </row>
    <row r="2" s="28" customFormat="1" ht="15">
      <c r="A2" s="46" t="s">
        <v>547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551</v>
      </c>
      <c r="B4" s="94">
        <v>139.75</v>
      </c>
      <c r="C4" s="95">
        <v>1.24</v>
      </c>
      <c r="D4" s="9">
        <f>C4/$C$6*$D$6</f>
        <v>5.55223880597015</v>
      </c>
      <c r="E4" s="9">
        <f>(B4+D4)*$D$1</f>
        <v>6050.385223880597</v>
      </c>
      <c r="F4" s="39"/>
      <c r="G4" s="70">
        <f>-E4+F4</f>
        <v>-6050.385223880597</v>
      </c>
    </row>
    <row r="5" spans="1:7" s="35" customFormat="1" ht="15">
      <c r="A5" s="100" t="s">
        <v>260</v>
      </c>
      <c r="B5" s="64">
        <v>12.26</v>
      </c>
      <c r="C5" s="64">
        <v>1.44</v>
      </c>
      <c r="D5" s="9">
        <f>C5/$C$6*$D$6</f>
        <v>6.447761194029851</v>
      </c>
      <c r="E5" s="51"/>
      <c r="F5" s="52"/>
      <c r="G5" s="71"/>
    </row>
    <row r="6" spans="1:7" s="43" customFormat="1" ht="15">
      <c r="A6" s="41"/>
      <c r="B6" s="41"/>
      <c r="C6" s="41">
        <f>SUM(C4:C5)</f>
        <v>2.6799999999999997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41925</v>
      </c>
      <c r="C1" s="31" t="s">
        <v>252</v>
      </c>
      <c r="D1" s="48">
        <v>41.64</v>
      </c>
      <c r="E1" s="28" t="s">
        <v>253</v>
      </c>
    </row>
    <row r="2" s="28" customFormat="1" ht="15">
      <c r="A2" s="46" t="s">
        <v>547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551</v>
      </c>
      <c r="B4" s="94">
        <v>134.2</v>
      </c>
      <c r="C4" s="95">
        <v>0.8400000000000001</v>
      </c>
      <c r="D4" s="9">
        <f>C4/$C$5*$D$5</f>
        <v>8</v>
      </c>
      <c r="E4" s="9">
        <f>(B4+D4)*$D$1</f>
        <v>5921.208</v>
      </c>
      <c r="F4" s="39">
        <v>410</v>
      </c>
      <c r="G4" s="70">
        <f>-E4+F4</f>
        <v>-5511.208</v>
      </c>
    </row>
    <row r="5" spans="1:7" s="43" customFormat="1" ht="15">
      <c r="A5" s="41"/>
      <c r="B5" s="41"/>
      <c r="C5" s="41">
        <f>SUM(C4:C4)</f>
        <v>0.8400000000000001</v>
      </c>
      <c r="D5" s="41">
        <v>8</v>
      </c>
      <c r="E5" s="41"/>
      <c r="F5" s="41"/>
      <c r="G5" s="41"/>
    </row>
    <row r="7" ht="31.5">
      <c r="A7" s="49"/>
    </row>
    <row r="8" ht="31.5">
      <c r="A8" s="49"/>
    </row>
  </sheetData>
  <sheetProtection/>
  <printOptions/>
  <pageMargins left="0.7" right="0.7" top="0.75" bottom="0.75" header="0.3" footer="0.3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41927</v>
      </c>
      <c r="C1" s="31" t="s">
        <v>252</v>
      </c>
      <c r="D1" s="48">
        <v>41.44</v>
      </c>
      <c r="E1" s="28" t="s">
        <v>253</v>
      </c>
    </row>
    <row r="2" s="28" customFormat="1" ht="15">
      <c r="A2" s="46" t="s">
        <v>557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216</v>
      </c>
      <c r="B4" s="94">
        <v>9.57</v>
      </c>
      <c r="C4" s="95">
        <v>0.23</v>
      </c>
      <c r="D4" s="9">
        <f aca="true" t="shared" si="0" ref="D4:D9">C4/$C$10*$D$10</f>
        <v>1.018450184501845</v>
      </c>
      <c r="E4" s="9">
        <f>(B4+D4)*$D$1</f>
        <v>438.7853756457564</v>
      </c>
      <c r="F4" s="39">
        <v>438</v>
      </c>
      <c r="G4" s="70">
        <f>-E4+F4</f>
        <v>-0.7853756457564032</v>
      </c>
    </row>
    <row r="5" spans="1:7" s="35" customFormat="1" ht="15">
      <c r="A5" s="9" t="s">
        <v>558</v>
      </c>
      <c r="B5" s="106">
        <v>19.18</v>
      </c>
      <c r="C5" s="107">
        <v>0.14</v>
      </c>
      <c r="D5" s="9">
        <f t="shared" si="0"/>
        <v>0.6199261992619927</v>
      </c>
      <c r="E5" s="9">
        <f>(B5+D5)*$D$1</f>
        <v>820.508941697417</v>
      </c>
      <c r="F5" s="39">
        <f>819+2</f>
        <v>821</v>
      </c>
      <c r="G5" s="70">
        <f>-E5+F5</f>
        <v>0.49105830258304195</v>
      </c>
    </row>
    <row r="6" spans="1:7" s="35" customFormat="1" ht="15">
      <c r="A6" s="9" t="s">
        <v>548</v>
      </c>
      <c r="B6" s="106">
        <v>0.95</v>
      </c>
      <c r="C6" s="107">
        <v>0.01</v>
      </c>
      <c r="D6" s="9">
        <f t="shared" si="0"/>
        <v>0.04428044280442805</v>
      </c>
      <c r="E6" s="9">
        <f>(B6+D6)*$D$1</f>
        <v>41.20298154981549</v>
      </c>
      <c r="F6" s="39">
        <v>43</v>
      </c>
      <c r="G6" s="70">
        <f>-E6+F6</f>
        <v>1.7970184501845097</v>
      </c>
    </row>
    <row r="7" spans="1:7" s="35" customFormat="1" ht="15">
      <c r="A7" s="9" t="s">
        <v>118</v>
      </c>
      <c r="B7" s="106">
        <v>10.71</v>
      </c>
      <c r="C7" s="107">
        <v>0.11</v>
      </c>
      <c r="D7" s="9">
        <f t="shared" si="0"/>
        <v>0.48708487084870844</v>
      </c>
      <c r="E7" s="9">
        <f>(B7+D7)*$D$1</f>
        <v>464.00719704797046</v>
      </c>
      <c r="F7" s="39">
        <f>463+1</f>
        <v>464</v>
      </c>
      <c r="G7" s="70">
        <f>-E7+F7</f>
        <v>-0.0071970479704646095</v>
      </c>
    </row>
    <row r="8" spans="1:7" s="35" customFormat="1" ht="15">
      <c r="A8" s="9" t="s">
        <v>25</v>
      </c>
      <c r="B8" s="106">
        <v>12.36</v>
      </c>
      <c r="C8" s="107">
        <v>0.27</v>
      </c>
      <c r="D8" s="9">
        <f t="shared" si="0"/>
        <v>1.1955719557195574</v>
      </c>
      <c r="E8" s="9">
        <f>(B8+D8)*$D$1</f>
        <v>561.7429018450184</v>
      </c>
      <c r="F8" s="39">
        <v>560</v>
      </c>
      <c r="G8" s="70">
        <f>-E8+F8</f>
        <v>-1.742901845018423</v>
      </c>
    </row>
    <row r="9" spans="1:7" s="35" customFormat="1" ht="15">
      <c r="A9" s="100" t="s">
        <v>260</v>
      </c>
      <c r="B9" s="64">
        <v>41.24</v>
      </c>
      <c r="C9" s="64">
        <v>1.95</v>
      </c>
      <c r="D9" s="9">
        <f t="shared" si="0"/>
        <v>8.634686346863468</v>
      </c>
      <c r="E9" s="51"/>
      <c r="F9" s="52"/>
      <c r="G9" s="71"/>
    </row>
    <row r="10" spans="1:7" s="43" customFormat="1" ht="15">
      <c r="A10" s="41"/>
      <c r="B10" s="41"/>
      <c r="C10" s="41">
        <f>SUM(C4:C9)</f>
        <v>2.71</v>
      </c>
      <c r="D10" s="41">
        <v>12</v>
      </c>
      <c r="E10" s="41"/>
      <c r="F10" s="41"/>
      <c r="G10" s="41"/>
    </row>
    <row r="12" ht="31.5">
      <c r="A12" s="49"/>
    </row>
    <row r="13" ht="31.5">
      <c r="A13" s="49"/>
    </row>
  </sheetData>
  <sheetProtection/>
  <printOptions/>
  <pageMargins left="0.7" right="0.7" top="0.75" bottom="0.75" header="0.3" footer="0.3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41927</v>
      </c>
      <c r="C1" s="31" t="s">
        <v>252</v>
      </c>
      <c r="D1" s="48">
        <v>41.44</v>
      </c>
      <c r="E1" s="28" t="s">
        <v>253</v>
      </c>
    </row>
    <row r="2" s="28" customFormat="1" ht="15">
      <c r="A2" s="46" t="s">
        <v>557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00" t="s">
        <v>156</v>
      </c>
      <c r="B4" s="94">
        <v>92.1</v>
      </c>
      <c r="C4" s="95">
        <v>2.7</v>
      </c>
      <c r="D4" s="9">
        <f>C4/$C$5*$D$5</f>
        <v>12</v>
      </c>
      <c r="E4" s="9">
        <f>(B4+D4)*$D$1</f>
        <v>4313.9039999999995</v>
      </c>
      <c r="F4" s="39">
        <v>4274</v>
      </c>
      <c r="G4" s="70">
        <f>-E4+F4</f>
        <v>-39.90399999999954</v>
      </c>
    </row>
    <row r="5" spans="1:7" s="43" customFormat="1" ht="15">
      <c r="A5" s="41"/>
      <c r="B5" s="41"/>
      <c r="C5" s="41">
        <f>SUM(C4:C4)</f>
        <v>2.7</v>
      </c>
      <c r="D5" s="41">
        <v>12</v>
      </c>
      <c r="E5" s="41"/>
      <c r="F5" s="41"/>
      <c r="G5" s="41"/>
    </row>
    <row r="7" ht="31.5">
      <c r="A7" s="49"/>
    </row>
    <row r="8" ht="31.5">
      <c r="A8" s="49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41238</v>
      </c>
      <c r="C1" s="31" t="s">
        <v>252</v>
      </c>
      <c r="D1" s="32">
        <v>30.941</v>
      </c>
      <c r="E1" s="28" t="s">
        <v>253</v>
      </c>
    </row>
    <row r="2" ht="15">
      <c r="A2" s="45" t="s">
        <v>280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281</v>
      </c>
      <c r="B4" s="9">
        <v>65.66</v>
      </c>
      <c r="C4" s="9">
        <v>0.42</v>
      </c>
      <c r="D4" s="9">
        <f>C4/$C$8*$D$8</f>
        <v>1.084870848708487</v>
      </c>
      <c r="E4" s="9">
        <f>(B4+D4)*$D$1</f>
        <v>2065.1530489298893</v>
      </c>
      <c r="F4" s="39"/>
      <c r="G4" s="39">
        <f>-E4+F4</f>
        <v>-2065.1530489298893</v>
      </c>
    </row>
    <row r="5" spans="1:7" s="35" customFormat="1" ht="15">
      <c r="A5" s="13" t="s">
        <v>204</v>
      </c>
      <c r="B5" s="9">
        <v>6.92</v>
      </c>
      <c r="C5" s="9">
        <v>0.08</v>
      </c>
      <c r="D5" s="9">
        <f>C5/$C$8*$D$8</f>
        <v>0.20664206642066424</v>
      </c>
      <c r="E5" s="9">
        <f>(B5+D5)*$D$1</f>
        <v>220.50543217712175</v>
      </c>
      <c r="F5" s="39">
        <v>197</v>
      </c>
      <c r="G5" s="39">
        <f>-E5+F5</f>
        <v>-23.505432177121747</v>
      </c>
    </row>
    <row r="6" spans="1:7" ht="15">
      <c r="A6" s="11" t="s">
        <v>264</v>
      </c>
      <c r="B6" s="28">
        <v>6.94</v>
      </c>
      <c r="C6" s="28">
        <v>1.24</v>
      </c>
      <c r="D6" s="9">
        <f>C6/$C$8*$D$8</f>
        <v>3.2029520295202953</v>
      </c>
      <c r="E6" s="9">
        <f>(B7+D6)*$D$1</f>
        <v>209.25249874538747</v>
      </c>
      <c r="F6" s="11"/>
      <c r="G6" s="39">
        <f>-E6+F6</f>
        <v>-209.25249874538747</v>
      </c>
    </row>
    <row r="7" spans="1:7" ht="15">
      <c r="A7" s="28" t="s">
        <v>274</v>
      </c>
      <c r="B7" s="11">
        <v>3.56</v>
      </c>
      <c r="C7" s="11">
        <v>0.97</v>
      </c>
      <c r="D7" s="9">
        <f>C7/$C$8*$D$8</f>
        <v>2.5055350553505535</v>
      </c>
      <c r="E7" s="9"/>
      <c r="F7" s="11"/>
      <c r="G7" s="39"/>
    </row>
    <row r="8" spans="1:7" ht="15">
      <c r="A8" s="41" t="s">
        <v>276</v>
      </c>
      <c r="B8" s="36"/>
      <c r="C8" s="41">
        <f>SUM(C4:C7)</f>
        <v>2.71</v>
      </c>
      <c r="D8" s="41">
        <v>7</v>
      </c>
      <c r="E8" s="36"/>
      <c r="F8" s="11"/>
      <c r="G8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41936</v>
      </c>
      <c r="C1" s="31" t="s">
        <v>252</v>
      </c>
      <c r="D1" s="48">
        <v>42.53</v>
      </c>
      <c r="E1" s="28" t="s">
        <v>253</v>
      </c>
    </row>
    <row r="2" s="28" customFormat="1" ht="15">
      <c r="A2" s="46" t="s">
        <v>562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550</v>
      </c>
      <c r="B4" s="94">
        <v>20.42</v>
      </c>
      <c r="C4" s="95">
        <v>0.78</v>
      </c>
      <c r="D4" s="9">
        <f>C4/$C$13*$D$13</f>
        <v>3.4795539033457246</v>
      </c>
      <c r="E4" s="9">
        <f>(B4+D4)*$D$1</f>
        <v>1016.4480275092938</v>
      </c>
      <c r="F4" s="39">
        <v>1027</v>
      </c>
      <c r="G4" s="70">
        <f>-E4+F4</f>
        <v>10.551972490706248</v>
      </c>
    </row>
    <row r="5" spans="1:7" s="35" customFormat="1" ht="15">
      <c r="A5" s="9" t="s">
        <v>96</v>
      </c>
      <c r="B5" s="114">
        <v>8.68</v>
      </c>
      <c r="C5" s="112">
        <v>0.11</v>
      </c>
      <c r="D5" s="9">
        <f aca="true" t="shared" si="0" ref="D5:D11">C5/$C$13*$D$13</f>
        <v>0.49070631970260215</v>
      </c>
      <c r="E5" s="9">
        <f aca="true" t="shared" si="1" ref="E5:E11">(B5+D5)*$D$1</f>
        <v>390.03013977695167</v>
      </c>
      <c r="F5" s="39">
        <f>388+10</f>
        <v>398</v>
      </c>
      <c r="G5" s="70">
        <f aca="true" t="shared" si="2" ref="G5:G11">-E5+F5</f>
        <v>7.969860223048329</v>
      </c>
    </row>
    <row r="6" spans="1:7" s="35" customFormat="1" ht="15">
      <c r="A6" s="9" t="s">
        <v>162</v>
      </c>
      <c r="B6" s="116">
        <v>1.9</v>
      </c>
      <c r="C6" s="95">
        <v>0.02</v>
      </c>
      <c r="D6" s="9">
        <f t="shared" si="0"/>
        <v>0.08921933085501857</v>
      </c>
      <c r="E6" s="9">
        <f t="shared" si="1"/>
        <v>84.60149814126395</v>
      </c>
      <c r="F6" s="39">
        <v>91</v>
      </c>
      <c r="G6" s="70">
        <f t="shared" si="2"/>
        <v>6.398501858736054</v>
      </c>
    </row>
    <row r="7" spans="1:7" s="35" customFormat="1" ht="15">
      <c r="A7" s="115" t="s">
        <v>539</v>
      </c>
      <c r="B7" s="117">
        <v>21.89</v>
      </c>
      <c r="C7" s="35">
        <v>0.14</v>
      </c>
      <c r="D7" s="9">
        <f t="shared" si="0"/>
        <v>0.62453531598513</v>
      </c>
      <c r="E7" s="9">
        <f t="shared" si="1"/>
        <v>957.5431869888477</v>
      </c>
      <c r="F7" s="39">
        <v>992</v>
      </c>
      <c r="G7" s="70">
        <f t="shared" si="2"/>
        <v>34.45681301115235</v>
      </c>
    </row>
    <row r="8" spans="1:7" s="35" customFormat="1" ht="15">
      <c r="A8" s="9" t="s">
        <v>563</v>
      </c>
      <c r="B8" s="106">
        <v>5.57</v>
      </c>
      <c r="C8" s="107">
        <v>0.27</v>
      </c>
      <c r="D8" s="9">
        <f t="shared" si="0"/>
        <v>1.2044609665427508</v>
      </c>
      <c r="E8" s="9">
        <f t="shared" si="1"/>
        <v>288.1178249070632</v>
      </c>
      <c r="F8" s="39">
        <v>287</v>
      </c>
      <c r="G8" s="70">
        <f t="shared" si="2"/>
        <v>-1.1178249070632091</v>
      </c>
    </row>
    <row r="9" spans="1:7" s="35" customFormat="1" ht="15">
      <c r="A9" s="9" t="s">
        <v>84</v>
      </c>
      <c r="B9" s="106">
        <v>4.99</v>
      </c>
      <c r="C9" s="107">
        <v>0.05</v>
      </c>
      <c r="D9" s="9">
        <f t="shared" si="0"/>
        <v>0.22304832713754644</v>
      </c>
      <c r="E9" s="9">
        <f t="shared" si="1"/>
        <v>221.71094535315987</v>
      </c>
      <c r="F9" s="39">
        <v>229</v>
      </c>
      <c r="G9" s="70">
        <f t="shared" si="2"/>
        <v>7.289054646840128</v>
      </c>
    </row>
    <row r="10" spans="1:7" s="35" customFormat="1" ht="15">
      <c r="A10" s="9" t="s">
        <v>564</v>
      </c>
      <c r="B10" s="106">
        <v>15.6</v>
      </c>
      <c r="C10" s="107">
        <v>0.75</v>
      </c>
      <c r="D10" s="9">
        <f t="shared" si="0"/>
        <v>3.3457249070631967</v>
      </c>
      <c r="E10" s="9">
        <f t="shared" si="1"/>
        <v>805.7616802973977</v>
      </c>
      <c r="F10" s="39">
        <v>802</v>
      </c>
      <c r="G10" s="70">
        <f t="shared" si="2"/>
        <v>-3.7616802973976746</v>
      </c>
    </row>
    <row r="11" spans="1:7" s="35" customFormat="1" ht="15">
      <c r="A11" s="9" t="s">
        <v>548</v>
      </c>
      <c r="B11" s="106">
        <v>3.77</v>
      </c>
      <c r="C11" s="107">
        <v>0.14</v>
      </c>
      <c r="D11" s="9">
        <f t="shared" si="0"/>
        <v>0.62453531598513</v>
      </c>
      <c r="E11" s="9">
        <f t="shared" si="1"/>
        <v>186.89958698884757</v>
      </c>
      <c r="F11" s="39">
        <v>190</v>
      </c>
      <c r="G11" s="70">
        <f t="shared" si="2"/>
        <v>3.100413011152426</v>
      </c>
    </row>
    <row r="12" spans="1:7" s="35" customFormat="1" ht="15">
      <c r="A12" s="100" t="s">
        <v>260</v>
      </c>
      <c r="B12" s="64">
        <v>12.25</v>
      </c>
      <c r="C12" s="64">
        <v>0.43</v>
      </c>
      <c r="D12" s="9">
        <f>C12/$C$13*$D$13</f>
        <v>1.9182156133828996</v>
      </c>
      <c r="E12" s="51"/>
      <c r="F12" s="52"/>
      <c r="G12" s="71"/>
    </row>
    <row r="13" spans="1:7" s="43" customFormat="1" ht="15">
      <c r="A13" s="41"/>
      <c r="B13" s="41"/>
      <c r="C13" s="41">
        <f>SUM(C4:C12)</f>
        <v>2.6900000000000004</v>
      </c>
      <c r="D13" s="41">
        <v>12</v>
      </c>
      <c r="E13" s="41"/>
      <c r="F13" s="41"/>
      <c r="G13" s="41"/>
    </row>
    <row r="15" ht="31.5">
      <c r="A15" s="49"/>
    </row>
    <row r="16" ht="31.5">
      <c r="A16" s="49"/>
    </row>
  </sheetData>
  <sheetProtection/>
  <printOptions/>
  <pageMargins left="0.7" right="0.7" top="0.75" bottom="0.75" header="0.3" footer="0.3"/>
  <pageSetup orientation="portrait" paperSize="9"/>
</worksheet>
</file>

<file path=xl/worksheets/sheet28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41940</v>
      </c>
      <c r="C1" s="31" t="s">
        <v>252</v>
      </c>
      <c r="D1" s="48">
        <v>43.49</v>
      </c>
      <c r="E1" s="28" t="s">
        <v>253</v>
      </c>
    </row>
    <row r="2" s="28" customFormat="1" ht="15">
      <c r="A2" s="46" t="s">
        <v>567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568</v>
      </c>
      <c r="B4" s="118">
        <v>7.2</v>
      </c>
      <c r="C4" s="118">
        <v>0.46</v>
      </c>
      <c r="D4" s="9">
        <f aca="true" t="shared" si="0" ref="D4:D9">C4/$C$10*$D$10</f>
        <v>2.0597014925373136</v>
      </c>
      <c r="E4" s="9">
        <f>(B4+D4)*$D$1</f>
        <v>402.7044179104478</v>
      </c>
      <c r="F4" s="39">
        <v>400</v>
      </c>
      <c r="G4" s="70">
        <f>-E4+F4</f>
        <v>-2.7044179104477735</v>
      </c>
    </row>
    <row r="5" spans="1:7" s="35" customFormat="1" ht="15">
      <c r="A5" s="100" t="s">
        <v>38</v>
      </c>
      <c r="B5" s="106">
        <v>6.14</v>
      </c>
      <c r="C5" s="107">
        <v>0.04</v>
      </c>
      <c r="D5" s="9">
        <f t="shared" si="0"/>
        <v>0.1791044776119403</v>
      </c>
      <c r="E5" s="9">
        <f>(B5+D5)*$D$1</f>
        <v>274.8178537313433</v>
      </c>
      <c r="F5" s="39">
        <f>273+2</f>
        <v>275</v>
      </c>
      <c r="G5" s="70">
        <f>-E5+F5</f>
        <v>0.1821462686567088</v>
      </c>
    </row>
    <row r="6" spans="1:7" s="35" customFormat="1" ht="15">
      <c r="A6" s="9" t="s">
        <v>569</v>
      </c>
      <c r="B6" s="106">
        <v>51.57</v>
      </c>
      <c r="C6" s="107">
        <v>1.11</v>
      </c>
      <c r="D6" s="9">
        <f t="shared" si="0"/>
        <v>4.970149253731344</v>
      </c>
      <c r="E6" s="9">
        <f>(B6+D6)*$D$1</f>
        <v>2458.931091044776</v>
      </c>
      <c r="F6" s="39">
        <f>2445+14</f>
        <v>2459</v>
      </c>
      <c r="G6" s="70">
        <f>-E6+F6</f>
        <v>0.06890895522383289</v>
      </c>
    </row>
    <row r="7" spans="1:7" s="35" customFormat="1" ht="15">
      <c r="A7" s="9" t="s">
        <v>245</v>
      </c>
      <c r="B7" s="94">
        <v>8.46</v>
      </c>
      <c r="C7" s="95">
        <v>0.06</v>
      </c>
      <c r="D7" s="9">
        <f t="shared" si="0"/>
        <v>0.26865671641791045</v>
      </c>
      <c r="E7" s="9">
        <f>(B7+D7)*$D$1</f>
        <v>379.60928059701496</v>
      </c>
      <c r="F7" s="39">
        <f>377+3</f>
        <v>380</v>
      </c>
      <c r="G7" s="70">
        <f>-E7+F7</f>
        <v>0.3907194029850416</v>
      </c>
    </row>
    <row r="8" spans="1:7" s="35" customFormat="1" ht="15">
      <c r="A8" s="9" t="s">
        <v>570</v>
      </c>
      <c r="B8" s="106">
        <v>8.37</v>
      </c>
      <c r="C8" s="107">
        <v>0.63</v>
      </c>
      <c r="D8" s="9">
        <f t="shared" si="0"/>
        <v>2.8208955223880596</v>
      </c>
      <c r="E8" s="9">
        <f>(B8+D8)*$D$1</f>
        <v>486.6920462686567</v>
      </c>
      <c r="F8" s="39">
        <f>484+3</f>
        <v>487</v>
      </c>
      <c r="G8" s="70">
        <f>-E8+F8</f>
        <v>0.3079537313432752</v>
      </c>
    </row>
    <row r="9" spans="1:7" s="35" customFormat="1" ht="15">
      <c r="A9" s="100" t="s">
        <v>260</v>
      </c>
      <c r="B9" s="64">
        <v>5.57</v>
      </c>
      <c r="C9" s="64">
        <v>0.38</v>
      </c>
      <c r="D9" s="9">
        <f t="shared" si="0"/>
        <v>1.7014925373134329</v>
      </c>
      <c r="E9" s="51"/>
      <c r="F9" s="52"/>
      <c r="G9" s="71"/>
    </row>
    <row r="10" spans="1:7" s="43" customFormat="1" ht="15">
      <c r="A10" s="41"/>
      <c r="B10" s="41"/>
      <c r="C10" s="41">
        <f>SUM(C4:C9)</f>
        <v>2.68</v>
      </c>
      <c r="D10" s="41">
        <v>12</v>
      </c>
      <c r="E10" s="41"/>
      <c r="F10" s="41"/>
      <c r="G10" s="41"/>
    </row>
    <row r="13" ht="15">
      <c r="A13" t="s">
        <v>489</v>
      </c>
    </row>
    <row r="14" ht="15">
      <c r="A14" s="119" t="s">
        <v>570</v>
      </c>
    </row>
    <row r="15" ht="15">
      <c r="A15" s="120" t="s">
        <v>571</v>
      </c>
    </row>
    <row r="16" ht="15">
      <c r="A16" s="120" t="s">
        <v>572</v>
      </c>
    </row>
  </sheetData>
  <sheetProtection/>
  <hyperlinks>
    <hyperlink ref="A15" r:id="rId1" display="http://www.iherb.com/South-of-France-Climbing-Wild-Rose-French-Milled-Oval-Soap-with-Organic-Shea-Butter-6-oz-170-g/54918"/>
    <hyperlink ref="A16" r:id="rId2" display="http://www.iherb.com/South-of-France-Herbes-De-Provence-French-Milled-Oval-Soap-with-Organic-Shea-Butter-6-oz-170-g/54924"/>
  </hyperlinks>
  <printOptions/>
  <pageMargins left="0.7" right="0.7" top="0.75" bottom="0.75" header="0.3" footer="0.3"/>
  <pageSetup orientation="portrait" paperSize="9"/>
</worksheet>
</file>

<file path=xl/worksheets/sheet28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41944</v>
      </c>
      <c r="C1" s="31" t="s">
        <v>252</v>
      </c>
      <c r="D1" s="48">
        <v>42.71</v>
      </c>
      <c r="E1" s="28" t="s">
        <v>253</v>
      </c>
    </row>
    <row r="2" s="28" customFormat="1" ht="15">
      <c r="A2" s="46" t="s">
        <v>575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576</v>
      </c>
      <c r="B4" s="94">
        <v>22.57</v>
      </c>
      <c r="C4" s="95">
        <v>0.43</v>
      </c>
      <c r="D4" s="9">
        <f>C4/$C$7*$D$7</f>
        <v>1.9040590405904059</v>
      </c>
      <c r="E4" s="9">
        <f>(B4+D4)*$D$1</f>
        <v>1045.2870616236162</v>
      </c>
      <c r="F4" s="39">
        <v>1050</v>
      </c>
      <c r="G4" s="70">
        <f>-E4+F4</f>
        <v>4.712938376383818</v>
      </c>
    </row>
    <row r="5" spans="1:7" s="35" customFormat="1" ht="15">
      <c r="A5" s="9" t="s">
        <v>143</v>
      </c>
      <c r="B5" s="106">
        <v>49</v>
      </c>
      <c r="C5" s="107">
        <v>1.11</v>
      </c>
      <c r="D5" s="9">
        <f>C5/$C$7*$D$7</f>
        <v>4.915129151291514</v>
      </c>
      <c r="E5" s="9">
        <f>(B5+D5)*$D$1</f>
        <v>2302.7151660516606</v>
      </c>
      <c r="F5" s="39">
        <v>2350</v>
      </c>
      <c r="G5" s="70">
        <f>-E5+F5</f>
        <v>47.28483394833938</v>
      </c>
    </row>
    <row r="6" spans="1:7" s="35" customFormat="1" ht="15">
      <c r="A6" s="100" t="s">
        <v>260</v>
      </c>
      <c r="B6" s="64">
        <v>23.56</v>
      </c>
      <c r="C6" s="64">
        <v>1.17</v>
      </c>
      <c r="D6" s="9">
        <f>C6/$C$7*$D$7</f>
        <v>5.180811808118081</v>
      </c>
      <c r="E6" s="51"/>
      <c r="F6" s="52"/>
      <c r="G6" s="71"/>
    </row>
    <row r="7" spans="1:7" s="43" customFormat="1" ht="15">
      <c r="A7" s="41"/>
      <c r="B7" s="41"/>
      <c r="C7" s="41">
        <f>SUM(C4:C6)</f>
        <v>2.71</v>
      </c>
      <c r="D7" s="41">
        <v>12</v>
      </c>
      <c r="E7" s="41"/>
      <c r="F7" s="41"/>
      <c r="G7" s="41"/>
    </row>
    <row r="9" ht="31.5">
      <c r="A9" s="49"/>
    </row>
    <row r="10" ht="31.5">
      <c r="A10" s="49"/>
    </row>
  </sheetData>
  <sheetProtection/>
  <printOptions/>
  <pageMargins left="0.7" right="0.7" top="0.75" bottom="0.75" header="0.3" footer="0.3"/>
  <pageSetup orientation="portrait" paperSize="9"/>
</worksheet>
</file>

<file path=xl/worksheets/sheet28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41944</v>
      </c>
      <c r="C1" s="31" t="s">
        <v>252</v>
      </c>
      <c r="D1" s="48">
        <v>42.71</v>
      </c>
      <c r="E1" s="28" t="s">
        <v>253</v>
      </c>
    </row>
    <row r="2" s="28" customFormat="1" ht="15">
      <c r="A2" s="46" t="s">
        <v>575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548</v>
      </c>
      <c r="B4" s="94">
        <v>9.86</v>
      </c>
      <c r="C4" s="95">
        <v>0.91</v>
      </c>
      <c r="D4" s="9">
        <f>C4/$C$9*$D$9</f>
        <v>4.059479553903346</v>
      </c>
      <c r="E4" s="9">
        <f>(B4+D4)*$D$1</f>
        <v>594.5009717472119</v>
      </c>
      <c r="F4" s="39">
        <v>596</v>
      </c>
      <c r="G4" s="70">
        <f>-E4+F4</f>
        <v>1.4990282527880936</v>
      </c>
    </row>
    <row r="5" spans="1:7" s="35" customFormat="1" ht="15">
      <c r="A5" s="9" t="s">
        <v>524</v>
      </c>
      <c r="B5" s="106">
        <v>23.4</v>
      </c>
      <c r="C5" s="107">
        <v>0.14</v>
      </c>
      <c r="D5" s="9">
        <f>C5/$C$9*$D$9</f>
        <v>0.6245353159851302</v>
      </c>
      <c r="E5" s="9">
        <f>(B5+D5)*$D$1</f>
        <v>1026.087903345725</v>
      </c>
      <c r="F5" s="39">
        <f>822+204</f>
        <v>1026</v>
      </c>
      <c r="G5" s="70">
        <f>-E5+F5</f>
        <v>-0.0879033457249534</v>
      </c>
    </row>
    <row r="6" spans="1:7" s="35" customFormat="1" ht="15">
      <c r="A6" s="9" t="s">
        <v>19</v>
      </c>
      <c r="B6" s="106">
        <v>23.42</v>
      </c>
      <c r="C6" s="107">
        <v>0.7</v>
      </c>
      <c r="D6" s="9">
        <f>C6/$C$9*$D$9</f>
        <v>3.122676579925651</v>
      </c>
      <c r="E6" s="9">
        <f>(B6+D6)*$D$1</f>
        <v>1133.6377167286248</v>
      </c>
      <c r="F6" s="39">
        <v>1134</v>
      </c>
      <c r="G6" s="70">
        <f>-E6+F6</f>
        <v>0.36228327137519045</v>
      </c>
    </row>
    <row r="7" spans="1:7" s="35" customFormat="1" ht="15">
      <c r="A7" s="9" t="s">
        <v>577</v>
      </c>
      <c r="B7" s="94">
        <v>15.04</v>
      </c>
      <c r="C7" s="95">
        <v>0.56</v>
      </c>
      <c r="D7" s="9">
        <f>C7/$C$9*$D$9</f>
        <v>2.498141263940521</v>
      </c>
      <c r="E7" s="9">
        <f>(B7+D7)*$D$1</f>
        <v>749.0540133828996</v>
      </c>
      <c r="F7" s="39">
        <v>751</v>
      </c>
      <c r="G7" s="70">
        <f>-E7+F7</f>
        <v>1.9459866171004023</v>
      </c>
    </row>
    <row r="8" spans="1:7" s="35" customFormat="1" ht="15">
      <c r="A8" s="100" t="s">
        <v>260</v>
      </c>
      <c r="B8" s="64">
        <v>27.12</v>
      </c>
      <c r="C8" s="64">
        <v>0.38</v>
      </c>
      <c r="D8" s="9">
        <f>C8/$C$9*$D$9</f>
        <v>1.6951672862453533</v>
      </c>
      <c r="E8" s="51"/>
      <c r="F8" s="52"/>
      <c r="G8" s="71"/>
    </row>
    <row r="9" spans="1:7" s="43" customFormat="1" ht="15">
      <c r="A9" s="41"/>
      <c r="B9" s="41"/>
      <c r="C9" s="41">
        <f>SUM(C4:C8)</f>
        <v>2.69</v>
      </c>
      <c r="D9" s="41">
        <v>12</v>
      </c>
      <c r="E9" s="41"/>
      <c r="F9" s="41"/>
      <c r="G9" s="41"/>
    </row>
    <row r="11" ht="31.5">
      <c r="A11" s="49"/>
    </row>
    <row r="12" ht="31.5">
      <c r="A12" s="49"/>
    </row>
  </sheetData>
  <sheetProtection/>
  <printOptions/>
  <pageMargins left="0.7" right="0.7" top="0.75" bottom="0.75" header="0.3" footer="0.3"/>
  <pageSetup orientation="portrait" paperSize="9"/>
</worksheet>
</file>

<file path=xl/worksheets/sheet284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41946</v>
      </c>
      <c r="C1" s="31" t="s">
        <v>252</v>
      </c>
      <c r="D1" s="48">
        <v>45.96</v>
      </c>
      <c r="E1" s="28" t="s">
        <v>253</v>
      </c>
    </row>
    <row r="2" s="28" customFormat="1" ht="15">
      <c r="A2" s="46" t="s">
        <v>579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581</v>
      </c>
      <c r="B4" s="94">
        <v>108.35</v>
      </c>
      <c r="C4" s="95">
        <v>4</v>
      </c>
      <c r="D4" s="9">
        <f>C4/$C$5*$D$5</f>
        <v>4</v>
      </c>
      <c r="E4" s="9">
        <f>(B4+D4)*$D$1</f>
        <v>5163.606</v>
      </c>
      <c r="F4" s="39">
        <v>5000</v>
      </c>
      <c r="G4" s="70">
        <f>-E4+F4</f>
        <v>-163.60599999999977</v>
      </c>
    </row>
    <row r="5" spans="1:7" s="43" customFormat="1" ht="15">
      <c r="A5" s="41"/>
      <c r="B5" s="41"/>
      <c r="C5" s="41">
        <f>SUM(C4:C4)</f>
        <v>4</v>
      </c>
      <c r="D5" s="41">
        <v>4</v>
      </c>
      <c r="E5" s="41"/>
      <c r="F5" s="41"/>
      <c r="G5" s="41"/>
    </row>
    <row r="7" ht="31.5">
      <c r="A7" s="49"/>
    </row>
    <row r="8" ht="31.5">
      <c r="A8" s="49"/>
    </row>
  </sheetData>
  <sheetProtection/>
  <printOptions/>
  <pageMargins left="0.7" right="0.7" top="0.75" bottom="0.75" header="0.3" footer="0.3"/>
  <pageSetup orientation="portrait" paperSize="9"/>
</worksheet>
</file>

<file path=xl/worksheets/sheet28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41953</v>
      </c>
      <c r="C1" s="31" t="s">
        <v>252</v>
      </c>
      <c r="D1" s="48">
        <v>46.84</v>
      </c>
      <c r="E1" s="28" t="s">
        <v>253</v>
      </c>
    </row>
    <row r="2" s="28" customFormat="1" ht="15">
      <c r="A2" s="46" t="s">
        <v>579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161</v>
      </c>
      <c r="B4" s="121">
        <v>5.06</v>
      </c>
      <c r="C4" s="121">
        <v>0.42</v>
      </c>
      <c r="D4" s="9">
        <f>C4/$C$7*$D$7</f>
        <v>0.8416833667334668</v>
      </c>
      <c r="E4" s="9">
        <f>(B4+D4)*$D$1</f>
        <v>276.4348488977956</v>
      </c>
      <c r="F4" s="39">
        <v>285</v>
      </c>
      <c r="G4" s="70">
        <f>-E4+F4</f>
        <v>8.565151102204425</v>
      </c>
    </row>
    <row r="5" spans="1:7" s="35" customFormat="1" ht="15">
      <c r="A5" s="9" t="s">
        <v>564</v>
      </c>
      <c r="B5" s="106">
        <v>28.66</v>
      </c>
      <c r="C5" s="107">
        <v>2.34</v>
      </c>
      <c r="D5" s="9">
        <f>C5/$C$7*$D$7</f>
        <v>4.68937875751503</v>
      </c>
      <c r="E5" s="9">
        <f>(B5+D5)*$D$1</f>
        <v>1562.084901002004</v>
      </c>
      <c r="F5" s="39">
        <v>1600</v>
      </c>
      <c r="G5" s="70">
        <f>-E5+F5</f>
        <v>37.91509899799598</v>
      </c>
    </row>
    <row r="6" spans="1:7" s="35" customFormat="1" ht="15">
      <c r="A6" s="100" t="s">
        <v>260</v>
      </c>
      <c r="B6" s="64"/>
      <c r="C6" s="64">
        <v>2.23</v>
      </c>
      <c r="D6" s="9">
        <f>C6/$C$7*$D$7</f>
        <v>4.468937875751503</v>
      </c>
      <c r="E6" s="51"/>
      <c r="F6" s="52"/>
      <c r="G6" s="71"/>
    </row>
    <row r="7" spans="1:7" s="43" customFormat="1" ht="15">
      <c r="A7" s="41"/>
      <c r="B7" s="41"/>
      <c r="C7" s="41">
        <f>SUM(C4:C6)</f>
        <v>4.99</v>
      </c>
      <c r="D7" s="41">
        <v>10</v>
      </c>
      <c r="E7" s="41"/>
      <c r="F7" s="41"/>
      <c r="G7" s="41"/>
    </row>
    <row r="9" ht="31.5">
      <c r="A9" s="49"/>
    </row>
    <row r="10" ht="31.5">
      <c r="A10" s="49"/>
    </row>
  </sheetData>
  <sheetProtection/>
  <printOptions/>
  <pageMargins left="0.7" right="0.7" top="0.75" bottom="0.75" header="0.3" footer="0.3"/>
  <pageSetup orientation="portrait" paperSize="9"/>
</worksheet>
</file>

<file path=xl/worksheets/sheet28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41953</v>
      </c>
      <c r="C1" s="31" t="s">
        <v>252</v>
      </c>
      <c r="D1" s="48">
        <v>46.84</v>
      </c>
      <c r="E1" s="28" t="s">
        <v>253</v>
      </c>
    </row>
    <row r="2" s="28" customFormat="1" ht="15">
      <c r="A2" s="46" t="s">
        <v>579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580</v>
      </c>
      <c r="B4" s="94">
        <v>9.87</v>
      </c>
      <c r="C4" s="95">
        <v>0.19</v>
      </c>
      <c r="D4" s="9">
        <f aca="true" t="shared" si="0" ref="D4:D9">C4/$C$10*$D$10</f>
        <v>0.3815261044176707</v>
      </c>
      <c r="E4" s="9">
        <f>(B4+D4)*$D$1</f>
        <v>480.1814827309237</v>
      </c>
      <c r="F4" s="39">
        <v>491</v>
      </c>
      <c r="G4" s="70">
        <f>-E4+F4</f>
        <v>10.818517269076324</v>
      </c>
    </row>
    <row r="5" spans="1:7" s="35" customFormat="1" ht="15">
      <c r="A5" s="9" t="s">
        <v>581</v>
      </c>
      <c r="B5" s="106">
        <v>21.65</v>
      </c>
      <c r="C5" s="107">
        <v>0.5</v>
      </c>
      <c r="D5" s="9">
        <f t="shared" si="0"/>
        <v>1.0040160642570282</v>
      </c>
      <c r="E5" s="9">
        <f>(B5+D5)*$D$1</f>
        <v>1061.1141124497992</v>
      </c>
      <c r="F5" s="39">
        <v>1464</v>
      </c>
      <c r="G5" s="70">
        <f>-E5+F5</f>
        <v>402.8858875502008</v>
      </c>
    </row>
    <row r="6" spans="1:7" s="35" customFormat="1" ht="15">
      <c r="A6" s="9" t="s">
        <v>582</v>
      </c>
      <c r="B6" s="106">
        <v>40.12</v>
      </c>
      <c r="C6" s="107">
        <v>0.45</v>
      </c>
      <c r="D6" s="9">
        <f t="shared" si="0"/>
        <v>0.9036144578313254</v>
      </c>
      <c r="E6" s="9">
        <f>(B6+D6)*$D$1</f>
        <v>1921.5461012048193</v>
      </c>
      <c r="F6" s="39">
        <v>1930</v>
      </c>
      <c r="G6" s="70">
        <f>-E6+F6</f>
        <v>8.453898795180748</v>
      </c>
    </row>
    <row r="7" spans="1:7" s="35" customFormat="1" ht="15">
      <c r="A7" s="9" t="s">
        <v>583</v>
      </c>
      <c r="B7" s="94">
        <v>5.9</v>
      </c>
      <c r="C7" s="95">
        <v>0.06</v>
      </c>
      <c r="D7" s="9">
        <f t="shared" si="0"/>
        <v>0.12048192771084337</v>
      </c>
      <c r="E7" s="9">
        <f>(B7+D7)*$D$1</f>
        <v>281.99937349397595</v>
      </c>
      <c r="F7" s="39">
        <v>288</v>
      </c>
      <c r="G7" s="70">
        <f>-E7+F7</f>
        <v>6.000626506024048</v>
      </c>
    </row>
    <row r="8" spans="1:7" s="35" customFormat="1" ht="15">
      <c r="A8" s="9" t="s">
        <v>584</v>
      </c>
      <c r="B8" s="106">
        <v>22.65</v>
      </c>
      <c r="C8" s="107">
        <v>2.48</v>
      </c>
      <c r="D8" s="9">
        <f t="shared" si="0"/>
        <v>4.97991967871486</v>
      </c>
      <c r="E8" s="9">
        <f>(B8+D8)*$D$1</f>
        <v>1294.1854377510042</v>
      </c>
      <c r="F8" s="39"/>
      <c r="G8" s="70">
        <f>-E8+F8</f>
        <v>-1294.1854377510042</v>
      </c>
    </row>
    <row r="9" spans="1:7" s="35" customFormat="1" ht="15">
      <c r="A9" s="100" t="s">
        <v>260</v>
      </c>
      <c r="B9" s="64"/>
      <c r="C9" s="64">
        <v>1.3</v>
      </c>
      <c r="D9" s="9">
        <f t="shared" si="0"/>
        <v>2.6104417670682736</v>
      </c>
      <c r="E9" s="51"/>
      <c r="F9" s="52"/>
      <c r="G9" s="71"/>
    </row>
    <row r="10" spans="1:7" s="43" customFormat="1" ht="15">
      <c r="A10" s="41"/>
      <c r="B10" s="41"/>
      <c r="C10" s="41">
        <f>SUM(C4:C9)</f>
        <v>4.9799999999999995</v>
      </c>
      <c r="D10" s="41">
        <v>10</v>
      </c>
      <c r="E10" s="41"/>
      <c r="F10" s="41"/>
      <c r="G10" s="41"/>
    </row>
    <row r="12" ht="31.5">
      <c r="A12" s="49"/>
    </row>
    <row r="13" ht="31.5">
      <c r="A13" s="49"/>
    </row>
  </sheetData>
  <sheetProtection/>
  <printOptions/>
  <pageMargins left="0.7" right="0.7" top="0.75" bottom="0.75" header="0.3" footer="0.3"/>
  <pageSetup orientation="portrait" paperSize="9"/>
</worksheet>
</file>

<file path=xl/worksheets/sheet28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41953</v>
      </c>
      <c r="C1" s="31" t="s">
        <v>252</v>
      </c>
      <c r="D1" s="48">
        <v>46.84</v>
      </c>
      <c r="E1" s="28" t="s">
        <v>253</v>
      </c>
    </row>
    <row r="2" s="28" customFormat="1" ht="15">
      <c r="A2" s="46" t="s">
        <v>579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584</v>
      </c>
      <c r="B4" s="94">
        <v>21.45</v>
      </c>
      <c r="C4" s="95">
        <v>3.52</v>
      </c>
      <c r="D4" s="9">
        <f>C4/$C$8*$D$8</f>
        <v>7.1111111111111125</v>
      </c>
      <c r="E4" s="9">
        <f>(B4+D4)*$D$1</f>
        <v>1337.8024444444445</v>
      </c>
      <c r="F4" s="39">
        <v>2774</v>
      </c>
      <c r="G4" s="70">
        <f>-E4+F4</f>
        <v>1436.1975555555555</v>
      </c>
    </row>
    <row r="5" spans="1:7" s="35" customFormat="1" ht="15">
      <c r="A5" s="9" t="s">
        <v>184</v>
      </c>
      <c r="B5" s="106">
        <v>48.849999999999994</v>
      </c>
      <c r="C5" s="107">
        <v>0.15</v>
      </c>
      <c r="D5" s="9">
        <f>C5/$C$8*$D$8</f>
        <v>0.3030303030303031</v>
      </c>
      <c r="E5" s="9">
        <f>(B5+D5)*$D$1</f>
        <v>2302.3279393939392</v>
      </c>
      <c r="F5" s="39">
        <v>2362</v>
      </c>
      <c r="G5" s="70">
        <f>-E5+F5</f>
        <v>59.67206060606077</v>
      </c>
    </row>
    <row r="6" spans="1:7" s="35" customFormat="1" ht="15">
      <c r="A6" s="9" t="s">
        <v>143</v>
      </c>
      <c r="B6" s="106">
        <v>82.39</v>
      </c>
      <c r="C6" s="107">
        <v>1.18</v>
      </c>
      <c r="D6" s="9">
        <f>C6/$C$8*$D$8</f>
        <v>2.383838383838384</v>
      </c>
      <c r="E6" s="9">
        <f>(B6+D6)*$D$1</f>
        <v>3970.80658989899</v>
      </c>
      <c r="F6" s="39">
        <v>4005</v>
      </c>
      <c r="G6" s="70">
        <f>-E6+F6</f>
        <v>34.19341010101016</v>
      </c>
    </row>
    <row r="7" spans="1:7" s="35" customFormat="1" ht="15">
      <c r="A7" s="100" t="s">
        <v>260</v>
      </c>
      <c r="B7" s="64"/>
      <c r="C7" s="64">
        <v>0.1</v>
      </c>
      <c r="D7" s="9">
        <f>C7/$C$8*$D$8</f>
        <v>0.20202020202020207</v>
      </c>
      <c r="E7" s="51"/>
      <c r="F7" s="52"/>
      <c r="G7" s="71"/>
    </row>
    <row r="8" spans="1:7" s="43" customFormat="1" ht="15">
      <c r="A8" s="41"/>
      <c r="B8" s="41"/>
      <c r="C8" s="41">
        <f>SUM(C4:C7)</f>
        <v>4.949999999999999</v>
      </c>
      <c r="D8" s="41">
        <v>10</v>
      </c>
      <c r="E8" s="41"/>
      <c r="F8" s="41"/>
      <c r="G8" s="41"/>
    </row>
    <row r="10" ht="31.5">
      <c r="A10" s="49"/>
    </row>
    <row r="11" ht="31.5">
      <c r="A11" s="49"/>
    </row>
  </sheetData>
  <sheetProtection/>
  <printOptions/>
  <pageMargins left="0.7" right="0.7" top="0.75" bottom="0.75" header="0.3" footer="0.3"/>
  <pageSetup orientation="portrait" paperSize="9"/>
</worksheet>
</file>

<file path=xl/worksheets/sheet28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41959</v>
      </c>
      <c r="C1" s="31" t="s">
        <v>252</v>
      </c>
      <c r="D1" s="48">
        <v>47.83</v>
      </c>
      <c r="E1" s="28" t="s">
        <v>253</v>
      </c>
    </row>
    <row r="2" s="28" customFormat="1" ht="15">
      <c r="A2" s="46" t="s">
        <v>588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184</v>
      </c>
      <c r="B4" s="94">
        <v>39.08</v>
      </c>
      <c r="C4" s="95">
        <v>1.08</v>
      </c>
      <c r="D4" s="9">
        <f aca="true" t="shared" si="0" ref="D4:D15">C4/$C$16*$D$16</f>
        <v>2.1818181818181817</v>
      </c>
      <c r="E4" s="9">
        <f aca="true" t="shared" si="1" ref="E4:E14">(B4+D4)*$D$1</f>
        <v>1973.5527636363634</v>
      </c>
      <c r="F4" s="39">
        <v>1975</v>
      </c>
      <c r="G4" s="70">
        <f aca="true" t="shared" si="2" ref="G4:G14">-E4+F4</f>
        <v>1.447236363636648</v>
      </c>
    </row>
    <row r="5" spans="1:7" s="35" customFormat="1" ht="15">
      <c r="A5" s="9" t="s">
        <v>589</v>
      </c>
      <c r="B5" s="106">
        <v>19.86</v>
      </c>
      <c r="C5" s="107">
        <v>0.8</v>
      </c>
      <c r="D5" s="9">
        <f t="shared" si="0"/>
        <v>1.616161616161616</v>
      </c>
      <c r="E5" s="9">
        <f t="shared" si="1"/>
        <v>1027.20481010101</v>
      </c>
      <c r="F5" s="39">
        <v>1028</v>
      </c>
      <c r="G5" s="70">
        <f t="shared" si="2"/>
        <v>0.7951898989899746</v>
      </c>
    </row>
    <row r="6" spans="1:7" s="35" customFormat="1" ht="15">
      <c r="A6" s="9" t="s">
        <v>19</v>
      </c>
      <c r="B6" s="106">
        <v>2.65</v>
      </c>
      <c r="C6" s="107">
        <v>0.2</v>
      </c>
      <c r="D6" s="9">
        <f t="shared" si="0"/>
        <v>0.404040404040404</v>
      </c>
      <c r="E6" s="9">
        <f t="shared" si="1"/>
        <v>146.0747525252525</v>
      </c>
      <c r="F6" s="39">
        <v>144</v>
      </c>
      <c r="G6" s="70">
        <f t="shared" si="2"/>
        <v>-2.0747525252525065</v>
      </c>
    </row>
    <row r="7" spans="1:7" s="35" customFormat="1" ht="15">
      <c r="A7" s="9" t="s">
        <v>505</v>
      </c>
      <c r="B7" s="94">
        <v>9.94</v>
      </c>
      <c r="C7" s="95">
        <v>0.59</v>
      </c>
      <c r="D7" s="9">
        <f t="shared" si="0"/>
        <v>1.1919191919191916</v>
      </c>
      <c r="E7" s="9">
        <f t="shared" si="1"/>
        <v>532.4396949494949</v>
      </c>
      <c r="F7" s="39">
        <v>543</v>
      </c>
      <c r="G7" s="70">
        <f t="shared" si="2"/>
        <v>10.560305050505121</v>
      </c>
    </row>
    <row r="8" spans="1:7" s="35" customFormat="1" ht="15">
      <c r="A8" s="9" t="s">
        <v>584</v>
      </c>
      <c r="B8" s="106">
        <v>18.06</v>
      </c>
      <c r="C8" s="107">
        <v>0.74</v>
      </c>
      <c r="D8" s="9">
        <f t="shared" si="0"/>
        <v>1.4949494949494946</v>
      </c>
      <c r="E8" s="9">
        <f t="shared" si="1"/>
        <v>935.3132343434343</v>
      </c>
      <c r="F8" s="39">
        <v>936</v>
      </c>
      <c r="G8" s="70">
        <f t="shared" si="2"/>
        <v>0.6867656565657398</v>
      </c>
    </row>
    <row r="9" spans="1:7" s="35" customFormat="1" ht="15">
      <c r="A9" s="9" t="s">
        <v>38</v>
      </c>
      <c r="B9" s="94">
        <v>4.99</v>
      </c>
      <c r="C9" s="95">
        <v>0.18</v>
      </c>
      <c r="D9" s="9">
        <f>C9/$C$16*$D$16</f>
        <v>0.36363636363636354</v>
      </c>
      <c r="E9" s="9">
        <f>(B9+D9)*$D$1</f>
        <v>256.06442727272724</v>
      </c>
      <c r="F9" s="39">
        <v>256</v>
      </c>
      <c r="G9" s="70">
        <f>-E9+F9</f>
        <v>-0.06442727272724369</v>
      </c>
    </row>
    <row r="10" spans="1:7" s="35" customFormat="1" ht="15">
      <c r="A10" s="9" t="s">
        <v>583</v>
      </c>
      <c r="B10" s="106">
        <v>4.19</v>
      </c>
      <c r="C10" s="107">
        <v>0.08</v>
      </c>
      <c r="D10" s="9">
        <f>C10/$C$16*$D$16</f>
        <v>0.16161616161616157</v>
      </c>
      <c r="E10" s="9">
        <f>(B10+D10)*$D$1</f>
        <v>208.13780101010101</v>
      </c>
      <c r="F10" s="39">
        <v>209</v>
      </c>
      <c r="G10" s="70">
        <f>-E10+F10</f>
        <v>0.8621989898989852</v>
      </c>
    </row>
    <row r="11" spans="1:7" s="35" customFormat="1" ht="15">
      <c r="A11" s="9" t="s">
        <v>539</v>
      </c>
      <c r="B11" s="106">
        <v>9.57</v>
      </c>
      <c r="C11" s="107">
        <v>0.17</v>
      </c>
      <c r="D11" s="9">
        <f>C11/$C$16*$D$16</f>
        <v>0.34343434343434337</v>
      </c>
      <c r="E11" s="9">
        <f>(B11+D11)*$D$1</f>
        <v>474.1595646464646</v>
      </c>
      <c r="F11" s="39">
        <v>480</v>
      </c>
      <c r="G11" s="70">
        <f>-E11+F11</f>
        <v>5.8404353535353835</v>
      </c>
    </row>
    <row r="12" spans="1:7" s="35" customFormat="1" ht="15">
      <c r="A12" s="9" t="s">
        <v>590</v>
      </c>
      <c r="B12" s="94">
        <v>9.18</v>
      </c>
      <c r="C12" s="95">
        <v>0.05</v>
      </c>
      <c r="D12" s="9">
        <f>C12/$C$16*$D$16</f>
        <v>0.101010101010101</v>
      </c>
      <c r="E12" s="9">
        <f>(B12+D12)*$D$1</f>
        <v>443.91071313131306</v>
      </c>
      <c r="F12" s="39">
        <v>444</v>
      </c>
      <c r="G12" s="70">
        <f>-E12+F12</f>
        <v>0.08928686868694058</v>
      </c>
    </row>
    <row r="13" spans="1:7" s="35" customFormat="1" ht="15">
      <c r="A13" s="9" t="s">
        <v>591</v>
      </c>
      <c r="B13" s="106">
        <v>23.76</v>
      </c>
      <c r="C13" s="107">
        <v>0.38</v>
      </c>
      <c r="D13" s="9">
        <f>C13/$C$16*$D$16</f>
        <v>0.7676767676767675</v>
      </c>
      <c r="E13" s="9">
        <f>(B13+D13)*$D$1</f>
        <v>1173.1587797979798</v>
      </c>
      <c r="F13" s="39">
        <v>1175</v>
      </c>
      <c r="G13" s="70">
        <f>-E13+F13</f>
        <v>1.8412202020201676</v>
      </c>
    </row>
    <row r="14" spans="1:7" s="35" customFormat="1" ht="15">
      <c r="A14" s="9" t="s">
        <v>268</v>
      </c>
      <c r="B14" s="106">
        <v>7.63</v>
      </c>
      <c r="C14" s="107">
        <v>0.16</v>
      </c>
      <c r="D14" s="9">
        <f t="shared" si="0"/>
        <v>0.32323232323232315</v>
      </c>
      <c r="E14" s="9">
        <f t="shared" si="1"/>
        <v>380.403102020202</v>
      </c>
      <c r="F14" s="39"/>
      <c r="G14" s="70">
        <f t="shared" si="2"/>
        <v>-380.403102020202</v>
      </c>
    </row>
    <row r="15" spans="1:7" s="35" customFormat="1" ht="15">
      <c r="A15" s="100" t="s">
        <v>260</v>
      </c>
      <c r="B15" s="64"/>
      <c r="C15" s="64">
        <v>0.52</v>
      </c>
      <c r="D15" s="9">
        <f t="shared" si="0"/>
        <v>1.0505050505050504</v>
      </c>
      <c r="E15" s="51"/>
      <c r="F15" s="52"/>
      <c r="G15" s="71"/>
    </row>
    <row r="16" spans="1:7" s="43" customFormat="1" ht="15">
      <c r="A16" s="41"/>
      <c r="B16" s="41"/>
      <c r="C16" s="41">
        <f>SUM(C4:C15)</f>
        <v>4.950000000000001</v>
      </c>
      <c r="D16" s="41">
        <v>10</v>
      </c>
      <c r="E16" s="41"/>
      <c r="F16" s="41"/>
      <c r="G16" s="41"/>
    </row>
    <row r="19" ht="15">
      <c r="A19" t="s">
        <v>436</v>
      </c>
    </row>
    <row r="20" ht="15">
      <c r="A20" s="122" t="s">
        <v>539</v>
      </c>
    </row>
    <row r="21" ht="15">
      <c r="A21" s="120" t="s">
        <v>592</v>
      </c>
    </row>
    <row r="22" ht="15">
      <c r="A22" s="122" t="s">
        <v>19</v>
      </c>
    </row>
    <row r="23" ht="15">
      <c r="A23" s="120" t="s">
        <v>593</v>
      </c>
    </row>
  </sheetData>
  <sheetProtection/>
  <hyperlinks>
    <hyperlink ref="A21" r:id="rId1" display="http://www.iherb.com/E-L-F-Cosmetics-Eyebrow-Kit-Gel-Powder-Ash-0-123-oz-3-5-g/53934"/>
    <hyperlink ref="A23" r:id="rId2" display="http://ru.iherb.com/Yogi-Tea-Stress-Relief-Caffeine-Free-Honey-Lavender-16-Tea-Bags-1-02-oz-29-g/41988"/>
  </hyperlinks>
  <printOptions/>
  <pageMargins left="0.7" right="0.7" top="0.75" bottom="0.75" header="0.3" footer="0.3"/>
  <pageSetup orientation="portrait" paperSize="9"/>
</worksheet>
</file>

<file path=xl/worksheets/sheet28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41959</v>
      </c>
      <c r="C1" s="31" t="s">
        <v>252</v>
      </c>
      <c r="D1" s="48">
        <v>47.83</v>
      </c>
      <c r="E1" s="28" t="s">
        <v>253</v>
      </c>
    </row>
    <row r="2" s="28" customFormat="1" ht="15">
      <c r="A2" s="46" t="s">
        <v>588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268</v>
      </c>
      <c r="B4" s="94">
        <v>26.29</v>
      </c>
      <c r="C4" s="95">
        <v>0.19</v>
      </c>
      <c r="D4" s="9">
        <f aca="true" t="shared" si="0" ref="D4:D11">C4/$C$12*$D$12</f>
        <v>0.3877551020408163</v>
      </c>
      <c r="E4" s="9">
        <f aca="true" t="shared" si="1" ref="E4:E10">(B4+D4)*$D$1</f>
        <v>1275.9970265306122</v>
      </c>
      <c r="F4" s="39">
        <v>1660</v>
      </c>
      <c r="G4" s="70">
        <f aca="true" t="shared" si="2" ref="G4:G10">-E4+F4</f>
        <v>384.0029734693878</v>
      </c>
    </row>
    <row r="5" spans="1:7" s="35" customFormat="1" ht="15">
      <c r="A5" s="9" t="s">
        <v>340</v>
      </c>
      <c r="B5" s="106">
        <v>11.96</v>
      </c>
      <c r="C5" s="107">
        <v>0.23</v>
      </c>
      <c r="D5" s="9">
        <f t="shared" si="0"/>
        <v>0.46938775510204084</v>
      </c>
      <c r="E5" s="9">
        <f t="shared" si="1"/>
        <v>594.4976163265306</v>
      </c>
      <c r="F5" s="39">
        <v>642</v>
      </c>
      <c r="G5" s="70">
        <f t="shared" si="2"/>
        <v>47.50238367346935</v>
      </c>
    </row>
    <row r="6" spans="1:7" s="35" customFormat="1" ht="15">
      <c r="A6" s="9" t="s">
        <v>595</v>
      </c>
      <c r="B6" s="106">
        <v>20.3</v>
      </c>
      <c r="C6" s="107">
        <v>0.08</v>
      </c>
      <c r="D6" s="9">
        <f t="shared" si="0"/>
        <v>0.16326530612244897</v>
      </c>
      <c r="E6" s="9">
        <f t="shared" si="1"/>
        <v>978.7579795918366</v>
      </c>
      <c r="F6" s="39">
        <v>982</v>
      </c>
      <c r="G6" s="70">
        <f t="shared" si="2"/>
        <v>3.2420204081633983</v>
      </c>
    </row>
    <row r="7" spans="1:7" s="35" customFormat="1" ht="15">
      <c r="A7" s="9" t="s">
        <v>596</v>
      </c>
      <c r="B7" s="94">
        <v>15.32</v>
      </c>
      <c r="C7" s="95">
        <v>0.32</v>
      </c>
      <c r="D7" s="9">
        <f t="shared" si="0"/>
        <v>0.6530612244897959</v>
      </c>
      <c r="E7" s="9">
        <f t="shared" si="1"/>
        <v>763.991518367347</v>
      </c>
      <c r="F7" s="39">
        <v>765</v>
      </c>
      <c r="G7" s="70">
        <f t="shared" si="2"/>
        <v>1.0084816326530017</v>
      </c>
    </row>
    <row r="8" spans="1:7" s="35" customFormat="1" ht="15">
      <c r="A8" s="9" t="s">
        <v>597</v>
      </c>
      <c r="B8" s="106">
        <v>7.96</v>
      </c>
      <c r="C8" s="107">
        <v>0.2</v>
      </c>
      <c r="D8" s="9">
        <f t="shared" si="0"/>
        <v>0.4081632653061224</v>
      </c>
      <c r="E8" s="9">
        <f t="shared" si="1"/>
        <v>400.24924897959187</v>
      </c>
      <c r="F8" s="39">
        <v>401</v>
      </c>
      <c r="G8" s="70">
        <f t="shared" si="2"/>
        <v>0.7507510204081314</v>
      </c>
    </row>
    <row r="9" spans="1:7" s="35" customFormat="1" ht="15">
      <c r="A9" s="9" t="s">
        <v>598</v>
      </c>
      <c r="B9" s="94">
        <v>11.96</v>
      </c>
      <c r="C9" s="95">
        <v>0.23</v>
      </c>
      <c r="D9" s="9">
        <f t="shared" si="0"/>
        <v>0.46938775510204084</v>
      </c>
      <c r="E9" s="9">
        <f t="shared" si="1"/>
        <v>594.4976163265306</v>
      </c>
      <c r="F9" s="39">
        <v>595</v>
      </c>
      <c r="G9" s="70">
        <f t="shared" si="2"/>
        <v>0.5023836734693532</v>
      </c>
    </row>
    <row r="10" spans="1:7" s="35" customFormat="1" ht="15">
      <c r="A10" s="9" t="s">
        <v>599</v>
      </c>
      <c r="B10" s="106">
        <v>26.2</v>
      </c>
      <c r="C10" s="107">
        <v>0.8</v>
      </c>
      <c r="D10" s="9">
        <f t="shared" si="0"/>
        <v>1.6326530612244896</v>
      </c>
      <c r="E10" s="9">
        <f t="shared" si="1"/>
        <v>1331.235795918367</v>
      </c>
      <c r="F10" s="39">
        <v>1332</v>
      </c>
      <c r="G10" s="70">
        <f t="shared" si="2"/>
        <v>0.7642040816328972</v>
      </c>
    </row>
    <row r="11" spans="1:7" s="35" customFormat="1" ht="15">
      <c r="A11" s="100" t="s">
        <v>260</v>
      </c>
      <c r="B11" s="64"/>
      <c r="C11" s="64">
        <v>2.85</v>
      </c>
      <c r="D11" s="9">
        <f t="shared" si="0"/>
        <v>5.816326530612245</v>
      </c>
      <c r="E11" s="51"/>
      <c r="F11" s="52"/>
      <c r="G11" s="71"/>
    </row>
    <row r="12" spans="1:7" s="43" customFormat="1" ht="15">
      <c r="A12" s="41"/>
      <c r="B12" s="41"/>
      <c r="C12" s="41">
        <f>SUM(C4:C11)</f>
        <v>4.9</v>
      </c>
      <c r="D12" s="41">
        <v>10</v>
      </c>
      <c r="E12" s="41"/>
      <c r="F12" s="41"/>
      <c r="G12" s="41"/>
    </row>
    <row r="15" ht="15">
      <c r="A15" t="s">
        <v>436</v>
      </c>
    </row>
    <row r="16" ht="15">
      <c r="A16" s="122" t="s">
        <v>340</v>
      </c>
    </row>
    <row r="17" ht="15">
      <c r="A17" s="120" t="s">
        <v>594</v>
      </c>
    </row>
    <row r="18" ht="15">
      <c r="A18" s="120"/>
    </row>
  </sheetData>
  <sheetProtection/>
  <hyperlinks>
    <hyperlink ref="A17" r:id="rId1" display="http://ru.iherb.com/Giovanni-Smooth-As-Silk-Deep-Moisture-Shampoo-8-5-fl-oz-250-ml/6419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41238</v>
      </c>
      <c r="C1" s="31" t="s">
        <v>252</v>
      </c>
      <c r="D1" s="32">
        <v>30.941</v>
      </c>
      <c r="E1" s="28" t="s">
        <v>253</v>
      </c>
    </row>
    <row r="2" ht="15">
      <c r="A2" s="45" t="s">
        <v>280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281</v>
      </c>
      <c r="B4" s="9">
        <v>55.59</v>
      </c>
      <c r="C4" s="9">
        <v>1.34</v>
      </c>
      <c r="D4" s="9">
        <f>C4/$C$8*$D$8</f>
        <v>4.509615384615385</v>
      </c>
      <c r="E4" s="9">
        <f>(B4+D4)*$D$1</f>
        <v>1859.5421996153848</v>
      </c>
      <c r="F4" s="39"/>
      <c r="G4" s="39">
        <f>-E4+F4</f>
        <v>-1859.5421996153848</v>
      </c>
    </row>
    <row r="5" spans="1:7" s="35" customFormat="1" ht="15">
      <c r="A5" s="13" t="s">
        <v>279</v>
      </c>
      <c r="B5" s="9">
        <v>10.79</v>
      </c>
      <c r="C5" s="9">
        <v>0.28</v>
      </c>
      <c r="D5" s="9">
        <f>C5/$C$8*$D$8</f>
        <v>0.9423076923076925</v>
      </c>
      <c r="E5" s="9">
        <f>(B5+D5)*$D$1</f>
        <v>363.0093323076923</v>
      </c>
      <c r="F5" s="39">
        <v>361</v>
      </c>
      <c r="G5" s="39">
        <f>-E5+F5</f>
        <v>-2.0093323076923184</v>
      </c>
    </row>
    <row r="6" spans="1:7" ht="15">
      <c r="A6" s="11" t="s">
        <v>264</v>
      </c>
      <c r="B6" s="11">
        <v>13.32</v>
      </c>
      <c r="C6" s="11">
        <v>0.35</v>
      </c>
      <c r="D6" s="9">
        <f>C6/$C$8*$D$8</f>
        <v>1.1778846153846152</v>
      </c>
      <c r="E6" s="9">
        <f>(B6+D6)*$D$1</f>
        <v>448.57904788461536</v>
      </c>
      <c r="F6" s="11">
        <v>654</v>
      </c>
      <c r="G6" s="39">
        <f>-E6+F6</f>
        <v>205.42095211538464</v>
      </c>
    </row>
    <row r="7" spans="1:7" ht="15">
      <c r="A7" s="28" t="s">
        <v>274</v>
      </c>
      <c r="B7" s="11">
        <v>11.84</v>
      </c>
      <c r="C7" s="11">
        <v>0.11</v>
      </c>
      <c r="D7" s="9">
        <f>C7/$C$8*$D$8</f>
        <v>0.3701923076923077</v>
      </c>
      <c r="E7" s="9"/>
      <c r="F7" s="11"/>
      <c r="G7" s="39"/>
    </row>
    <row r="8" spans="1:7" ht="15">
      <c r="A8" s="41" t="s">
        <v>276</v>
      </c>
      <c r="B8" s="36"/>
      <c r="C8" s="41">
        <f>SUM(C4:C7)</f>
        <v>2.08</v>
      </c>
      <c r="D8" s="41">
        <v>7</v>
      </c>
      <c r="E8" s="36"/>
      <c r="F8" s="11"/>
      <c r="G8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41964</v>
      </c>
      <c r="C1" s="31" t="s">
        <v>252</v>
      </c>
      <c r="D1" s="48">
        <v>46.58</v>
      </c>
      <c r="E1" s="28" t="s">
        <v>253</v>
      </c>
    </row>
    <row r="2" s="28" customFormat="1" ht="15">
      <c r="A2" s="46"/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00" t="s">
        <v>609</v>
      </c>
      <c r="B4" s="118">
        <v>76.69</v>
      </c>
      <c r="C4" s="118">
        <v>2.4</v>
      </c>
      <c r="D4" s="9">
        <f>C4/$C$6*$D$6</f>
        <v>10.588235294117649</v>
      </c>
      <c r="E4" s="9">
        <f>(B4+D4)*$D$1</f>
        <v>4065.4202</v>
      </c>
      <c r="F4" s="39">
        <v>4158</v>
      </c>
      <c r="G4" s="70">
        <f>-E4+F4</f>
        <v>92.57979999999998</v>
      </c>
    </row>
    <row r="5" spans="1:7" s="35" customFormat="1" ht="15">
      <c r="A5" s="100" t="s">
        <v>260</v>
      </c>
      <c r="B5" s="64">
        <v>18.85</v>
      </c>
      <c r="C5" s="64">
        <v>0.32</v>
      </c>
      <c r="D5" s="9">
        <f>C5/$C$6*$D$6</f>
        <v>1.411764705882353</v>
      </c>
      <c r="E5" s="51"/>
      <c r="F5" s="52"/>
      <c r="G5" s="71"/>
    </row>
    <row r="6" spans="1:7" s="43" customFormat="1" ht="15">
      <c r="A6" s="41"/>
      <c r="B6" s="41"/>
      <c r="C6" s="41">
        <f>SUM(C4:C5)</f>
        <v>2.7199999999999998</v>
      </c>
      <c r="D6" s="41">
        <v>12</v>
      </c>
      <c r="E6" s="41"/>
      <c r="F6" s="41"/>
      <c r="G6" s="41"/>
    </row>
    <row r="8" ht="31.5">
      <c r="A8" s="49"/>
    </row>
    <row r="9" ht="31.5">
      <c r="A9" s="49"/>
    </row>
    <row r="17" ht="15">
      <c r="A17" s="124"/>
    </row>
  </sheetData>
  <sheetProtection/>
  <printOptions/>
  <pageMargins left="0.7" right="0.7" top="0.75" bottom="0.75" header="0.3" footer="0.3"/>
  <pageSetup orientation="portrait" paperSize="9"/>
</worksheet>
</file>

<file path=xl/worksheets/sheet29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41964</v>
      </c>
      <c r="C1" s="31" t="s">
        <v>252</v>
      </c>
      <c r="D1" s="48">
        <v>46.58</v>
      </c>
      <c r="E1" s="28" t="s">
        <v>253</v>
      </c>
    </row>
    <row r="2" s="28" customFormat="1" ht="15">
      <c r="A2" s="46"/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605</v>
      </c>
      <c r="B4" s="118">
        <v>26.15</v>
      </c>
      <c r="C4" s="118">
        <v>0.6</v>
      </c>
      <c r="D4" s="9">
        <f>C4/$C$9*$D$9</f>
        <v>2.6568265682656826</v>
      </c>
      <c r="E4" s="9">
        <f>(B4+D4)*$D$1</f>
        <v>1341.8219815498153</v>
      </c>
      <c r="F4" s="39">
        <v>1372</v>
      </c>
      <c r="G4" s="70">
        <f>-E4+F4</f>
        <v>30.17801845018471</v>
      </c>
    </row>
    <row r="5" spans="1:7" s="35" customFormat="1" ht="15">
      <c r="A5" s="100" t="s">
        <v>55</v>
      </c>
      <c r="B5" s="106">
        <v>17.5</v>
      </c>
      <c r="C5" s="107">
        <v>0.08</v>
      </c>
      <c r="D5" s="9">
        <f>C5/$C$9*$D$9</f>
        <v>0.3542435424354244</v>
      </c>
      <c r="E5" s="9">
        <f>(B5+D5)*$D$1</f>
        <v>831.650664206642</v>
      </c>
      <c r="F5" s="39">
        <v>853</v>
      </c>
      <c r="G5" s="70">
        <f>-E5+F5</f>
        <v>21.349335793358023</v>
      </c>
    </row>
    <row r="6" spans="1:7" s="35" customFormat="1" ht="15">
      <c r="A6" s="9" t="s">
        <v>599</v>
      </c>
      <c r="B6" s="106">
        <v>26.99</v>
      </c>
      <c r="C6" s="107">
        <v>0.38</v>
      </c>
      <c r="D6" s="9">
        <f>C6/$C$9*$D$9</f>
        <v>1.682656826568266</v>
      </c>
      <c r="E6" s="9">
        <f>(B6+D6)*$D$1</f>
        <v>1335.5723549815498</v>
      </c>
      <c r="F6" s="39">
        <v>1366</v>
      </c>
      <c r="G6" s="70">
        <f>-E6+F6</f>
        <v>30.42764501845022</v>
      </c>
    </row>
    <row r="7" spans="1:7" s="35" customFormat="1" ht="15">
      <c r="A7" s="9" t="s">
        <v>25</v>
      </c>
      <c r="B7" s="94">
        <v>5.74</v>
      </c>
      <c r="C7" s="95">
        <v>0.08</v>
      </c>
      <c r="D7" s="9">
        <f>C7/$C$9*$D$9</f>
        <v>0.3542435424354244</v>
      </c>
      <c r="E7" s="9">
        <f>(B7+D7)*$D$1</f>
        <v>283.86986420664203</v>
      </c>
      <c r="F7" s="109">
        <v>284</v>
      </c>
      <c r="G7" s="70">
        <f>-E7+F7</f>
        <v>0.1301357933579652</v>
      </c>
    </row>
    <row r="8" spans="1:7" s="35" customFormat="1" ht="15">
      <c r="A8" s="100" t="s">
        <v>260</v>
      </c>
      <c r="B8" s="64">
        <v>20.1</v>
      </c>
      <c r="C8" s="64">
        <v>1.57</v>
      </c>
      <c r="D8" s="9">
        <f>C8/$C$9*$D$9</f>
        <v>6.952029520295204</v>
      </c>
      <c r="E8" s="51"/>
      <c r="F8" s="52"/>
      <c r="G8" s="71"/>
    </row>
    <row r="9" spans="1:7" s="43" customFormat="1" ht="15">
      <c r="A9" s="41"/>
      <c r="B9" s="41"/>
      <c r="C9" s="41">
        <f>SUM(C4:C8)</f>
        <v>2.71</v>
      </c>
      <c r="D9" s="41">
        <v>12</v>
      </c>
      <c r="E9" s="41"/>
      <c r="F9" s="41"/>
      <c r="G9" s="41"/>
    </row>
    <row r="12" ht="15">
      <c r="A12" t="s">
        <v>489</v>
      </c>
    </row>
    <row r="13" ht="15">
      <c r="A13" s="122" t="s">
        <v>605</v>
      </c>
    </row>
    <row r="14" ht="15">
      <c r="A14" s="123" t="s">
        <v>606</v>
      </c>
    </row>
    <row r="15" ht="15">
      <c r="A15" s="123" t="s">
        <v>607</v>
      </c>
    </row>
    <row r="16" ht="15">
      <c r="A16" s="122" t="s">
        <v>25</v>
      </c>
    </row>
    <row r="17" ht="15">
      <c r="A17" s="123" t="s">
        <v>608</v>
      </c>
    </row>
  </sheetData>
  <sheetProtection/>
  <hyperlinks>
    <hyperlink ref="A14" r:id="rId1" display="http://ru.iherb.com/Panda-Licorice-Soft-Licorice-7-oz-200-g/30288"/>
    <hyperlink ref="A15" r:id="rId2" display="http://ru.iherb.com/21st-Century-Health-Care-Cal-Mag-Zinc-D-90-Tablets/10695"/>
    <hyperlink ref="A17" r:id="rId3" display="http://www.iherb.com/Mineral-Fusion-Minerals-on-a-Mission-Nail-Lacquer-Blushing-Crystal-0-33-fl-oz-10-ml/50057"/>
  </hyperlinks>
  <printOptions/>
  <pageMargins left="0.7" right="0.7" top="0.75" bottom="0.75" header="0.3" footer="0.3"/>
  <pageSetup orientation="portrait" paperSize="9"/>
</worksheet>
</file>

<file path=xl/worksheets/sheet29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41964</v>
      </c>
      <c r="C1" s="31" t="s">
        <v>252</v>
      </c>
      <c r="D1" s="48">
        <v>45.55</v>
      </c>
      <c r="E1" s="28" t="s">
        <v>253</v>
      </c>
    </row>
    <row r="2" s="28" customFormat="1" ht="15">
      <c r="A2" s="46"/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96</v>
      </c>
      <c r="B4" s="127"/>
      <c r="C4" s="127"/>
      <c r="D4" s="9">
        <f aca="true" t="shared" si="0" ref="D4:D10">C4/$C$11*$D$11</f>
        <v>0</v>
      </c>
      <c r="E4" s="9">
        <f aca="true" t="shared" si="1" ref="E4:E9">(B4+D4)*$D$1</f>
        <v>0</v>
      </c>
      <c r="F4" s="39">
        <v>290</v>
      </c>
      <c r="G4" s="70">
        <f aca="true" t="shared" si="2" ref="G4:G9">-E4+F4</f>
        <v>290</v>
      </c>
    </row>
    <row r="5" spans="1:7" s="35" customFormat="1" ht="15">
      <c r="A5" s="100" t="s">
        <v>384</v>
      </c>
      <c r="B5" s="106">
        <v>7.5</v>
      </c>
      <c r="C5" s="107">
        <v>0.14</v>
      </c>
      <c r="D5" s="9">
        <f t="shared" si="0"/>
        <v>0.6268656716417912</v>
      </c>
      <c r="E5" s="9">
        <f t="shared" si="1"/>
        <v>370.1787313432836</v>
      </c>
      <c r="F5" s="39">
        <v>386</v>
      </c>
      <c r="G5" s="70">
        <f t="shared" si="2"/>
        <v>15.821268656716427</v>
      </c>
    </row>
    <row r="6" spans="1:7" s="35" customFormat="1" ht="15">
      <c r="A6" s="9" t="s">
        <v>581</v>
      </c>
      <c r="B6" s="106">
        <v>31.98</v>
      </c>
      <c r="C6" s="107">
        <v>0.67</v>
      </c>
      <c r="D6" s="9">
        <f t="shared" si="0"/>
        <v>3.000000000000001</v>
      </c>
      <c r="E6" s="9">
        <f t="shared" si="1"/>
        <v>1593.3390000000002</v>
      </c>
      <c r="F6" s="39">
        <v>1427</v>
      </c>
      <c r="G6" s="70">
        <f t="shared" si="2"/>
        <v>-166.33900000000017</v>
      </c>
    </row>
    <row r="7" spans="1:7" s="35" customFormat="1" ht="15">
      <c r="A7" s="9" t="s">
        <v>548</v>
      </c>
      <c r="B7" s="106">
        <v>15.52</v>
      </c>
      <c r="C7" s="107">
        <v>0.3</v>
      </c>
      <c r="D7" s="9">
        <f>C7/$C$11*$D$11</f>
        <v>1.3432835820895523</v>
      </c>
      <c r="E7" s="9">
        <f t="shared" si="1"/>
        <v>768.122567164179</v>
      </c>
      <c r="F7" s="39">
        <v>803</v>
      </c>
      <c r="G7" s="70">
        <f t="shared" si="2"/>
        <v>34.87743283582097</v>
      </c>
    </row>
    <row r="8" spans="1:7" s="35" customFormat="1" ht="15">
      <c r="A8" s="9" t="s">
        <v>610</v>
      </c>
      <c r="B8" s="106">
        <v>6.99</v>
      </c>
      <c r="C8" s="107">
        <v>0.35</v>
      </c>
      <c r="D8" s="9">
        <f>C8/$C$11*$D$11</f>
        <v>1.567164179104478</v>
      </c>
      <c r="E8" s="9">
        <f t="shared" si="1"/>
        <v>389.778828358209</v>
      </c>
      <c r="F8" s="39">
        <v>408</v>
      </c>
      <c r="G8" s="70">
        <f t="shared" si="2"/>
        <v>18.22117164179099</v>
      </c>
    </row>
    <row r="9" spans="1:7" s="35" customFormat="1" ht="15">
      <c r="A9" s="9" t="s">
        <v>216</v>
      </c>
      <c r="B9" s="94">
        <v>6.97</v>
      </c>
      <c r="C9" s="95">
        <v>0.16</v>
      </c>
      <c r="D9" s="9">
        <f>C9/$C$11*$D$11</f>
        <v>0.7164179104477613</v>
      </c>
      <c r="E9" s="9">
        <f t="shared" si="1"/>
        <v>350.11633582089553</v>
      </c>
      <c r="F9" s="39">
        <v>349</v>
      </c>
      <c r="G9" s="70">
        <f t="shared" si="2"/>
        <v>-1.1163358208955287</v>
      </c>
    </row>
    <row r="10" spans="1:7" s="35" customFormat="1" ht="15">
      <c r="A10" s="100" t="s">
        <v>260</v>
      </c>
      <c r="B10" s="64">
        <f>16.37+5.73</f>
        <v>22.1</v>
      </c>
      <c r="C10" s="64">
        <f>0.98+0.08</f>
        <v>1.06</v>
      </c>
      <c r="D10" s="9">
        <f t="shared" si="0"/>
        <v>4.746268656716419</v>
      </c>
      <c r="E10" s="51"/>
      <c r="F10" s="52"/>
      <c r="G10" s="71"/>
    </row>
    <row r="11" spans="1:7" s="43" customFormat="1" ht="15">
      <c r="A11" s="41"/>
      <c r="B11" s="41"/>
      <c r="C11" s="41">
        <f>SUM(C4:C10)</f>
        <v>2.6799999999999997</v>
      </c>
      <c r="D11" s="41">
        <v>12</v>
      </c>
      <c r="E11" s="41"/>
      <c r="F11" s="41"/>
      <c r="G11" s="41"/>
    </row>
    <row r="16" ht="15">
      <c r="A16" s="120"/>
    </row>
    <row r="17" ht="15">
      <c r="A17" s="120"/>
    </row>
  </sheetData>
  <sheetProtection/>
  <printOptions/>
  <pageMargins left="0.7" right="0.7" top="0.75" bottom="0.75" header="0.3" footer="0.3"/>
  <pageSetup orientation="portrait" paperSize="9"/>
</worksheet>
</file>

<file path=xl/worksheets/sheet293.xml><?xml version="1.0" encoding="utf-8"?>
<worksheet xmlns="http://schemas.openxmlformats.org/spreadsheetml/2006/main" xmlns:r="http://schemas.openxmlformats.org/officeDocument/2006/relationships">
  <sheetPr>
    <tabColor rgb="FFFF0000"/>
  </sheetPr>
  <dimension ref="A1:G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41964</v>
      </c>
      <c r="C1" s="31" t="s">
        <v>252</v>
      </c>
      <c r="D1" s="48">
        <v>45.55</v>
      </c>
      <c r="E1" s="28" t="s">
        <v>253</v>
      </c>
    </row>
    <row r="2" s="28" customFormat="1" ht="15">
      <c r="A2" s="46"/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00" t="s">
        <v>526</v>
      </c>
      <c r="B4" s="118">
        <v>61.08</v>
      </c>
      <c r="C4" s="118">
        <v>2.56</v>
      </c>
      <c r="D4" s="9">
        <f>C4/$C$6*$D$6</f>
        <v>11.462686567164178</v>
      </c>
      <c r="E4" s="9">
        <f>(B4+D4)*$D$1</f>
        <v>3304.319373134328</v>
      </c>
      <c r="F4" s="39">
        <v>3456</v>
      </c>
      <c r="G4" s="70">
        <f>-E4+F4</f>
        <v>151.6806268656719</v>
      </c>
    </row>
    <row r="5" spans="1:7" s="35" customFormat="1" ht="15">
      <c r="A5" s="100" t="s">
        <v>260</v>
      </c>
      <c r="B5" s="64">
        <v>28.1</v>
      </c>
      <c r="C5" s="64">
        <v>0.12</v>
      </c>
      <c r="D5" s="9">
        <f>C5/$C$6*$D$6</f>
        <v>0.5373134328358209</v>
      </c>
      <c r="E5" s="51"/>
      <c r="F5" s="52"/>
      <c r="G5" s="71"/>
    </row>
    <row r="6" spans="1:7" s="43" customFormat="1" ht="15">
      <c r="A6" s="41"/>
      <c r="B6" s="41"/>
      <c r="C6" s="41">
        <f>SUM(C4:C5)</f>
        <v>2.68</v>
      </c>
      <c r="D6" s="41">
        <v>12</v>
      </c>
      <c r="E6" s="41"/>
      <c r="F6" s="41"/>
      <c r="G6" s="41"/>
    </row>
  </sheetData>
  <sheetProtection/>
  <printOptions/>
  <pageMargins left="0.7" right="0.7" top="0.75" bottom="0.75" header="0.3" footer="0.3"/>
  <pageSetup orientation="portrait" paperSize="9"/>
</worksheet>
</file>

<file path=xl/worksheets/sheet2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23.8515625" style="0" customWidth="1"/>
  </cols>
  <sheetData>
    <row r="1" spans="1:5" s="28" customFormat="1" ht="21">
      <c r="A1" s="29" t="s">
        <v>251</v>
      </c>
      <c r="B1" s="30">
        <v>41978</v>
      </c>
      <c r="C1" s="31" t="s">
        <v>252</v>
      </c>
      <c r="D1" s="48">
        <v>54.02</v>
      </c>
      <c r="E1" s="28" t="s">
        <v>253</v>
      </c>
    </row>
    <row r="2" s="28" customFormat="1" ht="15">
      <c r="A2" s="46" t="s">
        <v>617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100" t="s">
        <v>618</v>
      </c>
      <c r="B4" s="118">
        <v>39.03</v>
      </c>
      <c r="C4" s="118">
        <v>0.43</v>
      </c>
      <c r="D4" s="9">
        <f aca="true" t="shared" si="0" ref="D4:D10">C4/$C$11*$D$11</f>
        <v>1.9325842696629214</v>
      </c>
      <c r="E4" s="9">
        <f aca="true" t="shared" si="1" ref="E4:E9">(B4+D4)*$D$1</f>
        <v>2212.798802247191</v>
      </c>
      <c r="F4" s="39">
        <f>2180+33</f>
        <v>2213</v>
      </c>
      <c r="G4" s="70">
        <f aca="true" t="shared" si="2" ref="G4:G9">-E4+F4</f>
        <v>0.2011977528090938</v>
      </c>
    </row>
    <row r="5" spans="1:7" s="35" customFormat="1" ht="15">
      <c r="A5" s="100" t="s">
        <v>143</v>
      </c>
      <c r="B5" s="106">
        <v>8.68</v>
      </c>
      <c r="C5" s="107">
        <v>0.11</v>
      </c>
      <c r="D5" s="9">
        <f t="shared" si="0"/>
        <v>0.49438202247191015</v>
      </c>
      <c r="E5" s="9">
        <f t="shared" si="1"/>
        <v>495.6001168539326</v>
      </c>
      <c r="F5" s="39">
        <v>400</v>
      </c>
      <c r="G5" s="70">
        <f t="shared" si="2"/>
        <v>-95.6001168539326</v>
      </c>
    </row>
    <row r="6" spans="1:7" s="35" customFormat="1" ht="15">
      <c r="A6" s="9" t="s">
        <v>55</v>
      </c>
      <c r="B6" s="106">
        <v>1.99</v>
      </c>
      <c r="C6" s="107">
        <v>0.03</v>
      </c>
      <c r="D6" s="9">
        <f t="shared" si="0"/>
        <v>0.1348314606741573</v>
      </c>
      <c r="E6" s="9">
        <f t="shared" si="1"/>
        <v>114.78339550561799</v>
      </c>
      <c r="F6" s="39">
        <f>94+2</f>
        <v>96</v>
      </c>
      <c r="G6" s="70">
        <f t="shared" si="2"/>
        <v>-18.78339550561799</v>
      </c>
    </row>
    <row r="7" spans="1:7" s="35" customFormat="1" ht="15">
      <c r="A7" s="9" t="s">
        <v>384</v>
      </c>
      <c r="B7" s="106">
        <v>12.82</v>
      </c>
      <c r="C7" s="107">
        <v>1.1</v>
      </c>
      <c r="D7" s="9">
        <f>C7/$C$11*$D$11</f>
        <v>4.943820224719102</v>
      </c>
      <c r="E7" s="9">
        <f t="shared" si="1"/>
        <v>959.6015685393259</v>
      </c>
      <c r="F7" s="39">
        <v>945</v>
      </c>
      <c r="G7" s="70">
        <f t="shared" si="2"/>
        <v>-14.601568539325854</v>
      </c>
    </row>
    <row r="8" spans="1:8" s="35" customFormat="1" ht="30">
      <c r="A8" s="9" t="s">
        <v>96</v>
      </c>
      <c r="B8" s="106">
        <v>23.09</v>
      </c>
      <c r="C8" s="107">
        <v>0.35</v>
      </c>
      <c r="D8" s="9">
        <f>C8/$C$11*$D$11</f>
        <v>1.5730337078651684</v>
      </c>
      <c r="E8" s="9">
        <f t="shared" si="1"/>
        <v>1332.2970808988764</v>
      </c>
      <c r="F8" s="39">
        <f>1274+26+19</f>
        <v>1319</v>
      </c>
      <c r="G8" s="70">
        <f t="shared" si="2"/>
        <v>-13.297080898876402</v>
      </c>
      <c r="H8" s="35" t="s">
        <v>630</v>
      </c>
    </row>
    <row r="9" spans="1:7" s="35" customFormat="1" ht="15">
      <c r="A9" s="100" t="s">
        <v>519</v>
      </c>
      <c r="B9" s="94">
        <v>5.08</v>
      </c>
      <c r="C9" s="95">
        <v>0.08</v>
      </c>
      <c r="D9" s="9">
        <f>C9/$C$11*$D$11</f>
        <v>0.3595505617977528</v>
      </c>
      <c r="E9" s="9">
        <f t="shared" si="1"/>
        <v>293.84452134831463</v>
      </c>
      <c r="F9" s="39">
        <f>289+5</f>
        <v>294</v>
      </c>
      <c r="G9" s="70">
        <f t="shared" si="2"/>
        <v>0.155478651685371</v>
      </c>
    </row>
    <row r="10" spans="1:7" s="35" customFormat="1" ht="15">
      <c r="A10" s="100" t="s">
        <v>260</v>
      </c>
      <c r="B10" s="64"/>
      <c r="C10" s="64">
        <v>0.57</v>
      </c>
      <c r="D10" s="9">
        <f t="shared" si="0"/>
        <v>2.561797752808989</v>
      </c>
      <c r="E10" s="51"/>
      <c r="F10" s="52"/>
      <c r="G10" s="71"/>
    </row>
    <row r="11" spans="1:7" s="43" customFormat="1" ht="15">
      <c r="A11" s="41"/>
      <c r="B11" s="41"/>
      <c r="C11" s="41">
        <f>SUM(C4:C10)</f>
        <v>2.67</v>
      </c>
      <c r="D11" s="41">
        <v>12</v>
      </c>
      <c r="E11" s="41"/>
      <c r="F11" s="41"/>
      <c r="G11" s="41"/>
    </row>
    <row r="14" ht="15">
      <c r="A14" s="120"/>
    </row>
  </sheetData>
  <sheetProtection/>
  <printOptions/>
  <pageMargins left="0.7" right="0.7" top="0.75" bottom="0.75" header="0.3" footer="0.3"/>
  <pageSetup orientation="portrait" paperSize="9"/>
</worksheet>
</file>

<file path=xl/worksheets/sheet29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41978</v>
      </c>
      <c r="C1" s="31" t="s">
        <v>252</v>
      </c>
      <c r="D1" s="48">
        <v>53.59</v>
      </c>
      <c r="E1" s="28" t="s">
        <v>253</v>
      </c>
    </row>
    <row r="2" s="28" customFormat="1" ht="15">
      <c r="A2" s="46" t="s">
        <v>617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584</v>
      </c>
      <c r="B4" s="118">
        <v>14.07</v>
      </c>
      <c r="C4" s="118">
        <v>0.73</v>
      </c>
      <c r="D4" s="9">
        <f>C4/$C$8*$D$8</f>
        <v>3.2565055762081783</v>
      </c>
      <c r="E4" s="9">
        <f>(B4+D4)*$D$1</f>
        <v>928.5274338289963</v>
      </c>
      <c r="F4" s="39">
        <f>863+7+7</f>
        <v>877</v>
      </c>
      <c r="G4" s="70">
        <f>-E4+F4</f>
        <v>-51.52743382899632</v>
      </c>
    </row>
    <row r="5" spans="1:7" s="35" customFormat="1" ht="15">
      <c r="A5" s="100" t="s">
        <v>184</v>
      </c>
      <c r="B5" s="106">
        <v>41.4</v>
      </c>
      <c r="C5" s="107">
        <v>0.28</v>
      </c>
      <c r="D5" s="9">
        <f>C5/$C$8*$D$8</f>
        <v>1.2490706319702605</v>
      </c>
      <c r="E5" s="9">
        <f>(B5+D5)*$D$1</f>
        <v>2285.5636951672864</v>
      </c>
      <c r="F5" s="39">
        <f>2270</f>
        <v>2270</v>
      </c>
      <c r="G5" s="70">
        <f>-E5+F5</f>
        <v>-15.563695167286369</v>
      </c>
    </row>
    <row r="6" spans="1:7" s="35" customFormat="1" ht="15">
      <c r="A6" s="9" t="s">
        <v>610</v>
      </c>
      <c r="B6" s="106">
        <v>25.98</v>
      </c>
      <c r="C6" s="107">
        <v>0.58</v>
      </c>
      <c r="D6" s="9">
        <f>C6/$C$8*$D$8</f>
        <v>2.587360594795539</v>
      </c>
      <c r="E6" s="9">
        <f>(B6+D6)*$D$1</f>
        <v>1530.924854275093</v>
      </c>
      <c r="F6" s="39">
        <f>1502+11</f>
        <v>1513</v>
      </c>
      <c r="G6" s="70">
        <f>-E6+F6</f>
        <v>-17.924854275092912</v>
      </c>
    </row>
    <row r="7" spans="1:7" s="35" customFormat="1" ht="15">
      <c r="A7" s="100" t="s">
        <v>260</v>
      </c>
      <c r="B7" s="64"/>
      <c r="C7" s="64">
        <v>1.1</v>
      </c>
      <c r="D7" s="9">
        <f>C7/$C$8*$D$8</f>
        <v>4.907063197026023</v>
      </c>
      <c r="E7" s="51"/>
      <c r="F7" s="52"/>
      <c r="G7" s="71"/>
    </row>
    <row r="8" spans="1:7" s="43" customFormat="1" ht="15">
      <c r="A8" s="41"/>
      <c r="B8" s="41"/>
      <c r="C8" s="41">
        <f>SUM(C4:C7)</f>
        <v>2.69</v>
      </c>
      <c r="D8" s="41">
        <v>12</v>
      </c>
      <c r="E8" s="41"/>
      <c r="F8" s="41"/>
      <c r="G8" s="41"/>
    </row>
    <row r="11" ht="15">
      <c r="A11" s="120"/>
    </row>
  </sheetData>
  <sheetProtection/>
  <printOptions/>
  <pageMargins left="0.7" right="0.7" top="0.75" bottom="0.75" header="0.3" footer="0.3"/>
  <pageSetup orientation="portrait" paperSize="9"/>
</worksheet>
</file>

<file path=xl/worksheets/sheet29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41980</v>
      </c>
      <c r="C1" s="31" t="s">
        <v>252</v>
      </c>
      <c r="D1" s="48">
        <v>54.22</v>
      </c>
      <c r="E1" s="28" t="s">
        <v>253</v>
      </c>
    </row>
    <row r="2" s="28" customFormat="1" ht="15">
      <c r="A2" s="46" t="s">
        <v>624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583</v>
      </c>
      <c r="B4" s="118">
        <v>7.04</v>
      </c>
      <c r="C4" s="118">
        <v>0.08</v>
      </c>
      <c r="D4" s="9">
        <f aca="true" t="shared" si="0" ref="D4:D9">C4/$C$10*$D$10</f>
        <v>0.3595505617977528</v>
      </c>
      <c r="E4" s="9">
        <f>(B4+D4)*$D$1</f>
        <v>401.20363146067416</v>
      </c>
      <c r="F4" s="39">
        <v>390</v>
      </c>
      <c r="G4" s="70">
        <f>-E4+F4</f>
        <v>-11.20363146067416</v>
      </c>
    </row>
    <row r="5" spans="1:7" s="35" customFormat="1" ht="15">
      <c r="A5" s="100" t="s">
        <v>384</v>
      </c>
      <c r="B5" s="106">
        <v>7.04</v>
      </c>
      <c r="C5" s="107">
        <v>0.08</v>
      </c>
      <c r="D5" s="9">
        <f t="shared" si="0"/>
        <v>0.3595505617977528</v>
      </c>
      <c r="E5" s="9">
        <f>(B5+D5)*$D$1</f>
        <v>401.20363146067416</v>
      </c>
      <c r="F5" s="39">
        <v>397</v>
      </c>
      <c r="G5" s="70">
        <f>-E5+F5</f>
        <v>-4.20363146067416</v>
      </c>
    </row>
    <row r="6" spans="1:7" s="35" customFormat="1" ht="15">
      <c r="A6" s="9" t="s">
        <v>268</v>
      </c>
      <c r="B6" s="106">
        <v>6.720000000000001</v>
      </c>
      <c r="C6" s="107">
        <v>0.16</v>
      </c>
      <c r="D6" s="9">
        <f t="shared" si="0"/>
        <v>0.7191011235955056</v>
      </c>
      <c r="E6" s="9">
        <f>(B6+D6)*$D$1</f>
        <v>403.34806292134834</v>
      </c>
      <c r="F6" s="39">
        <v>395</v>
      </c>
      <c r="G6" s="70">
        <f>-E6+F6</f>
        <v>-8.348062921348344</v>
      </c>
    </row>
    <row r="7" spans="1:7" s="35" customFormat="1" ht="15">
      <c r="A7" s="9" t="s">
        <v>609</v>
      </c>
      <c r="B7" s="106">
        <v>18.59</v>
      </c>
      <c r="C7" s="107">
        <v>0.77</v>
      </c>
      <c r="D7" s="9">
        <f t="shared" si="0"/>
        <v>3.4606741573033712</v>
      </c>
      <c r="E7" s="9">
        <f>(B7+D7)*$D$1</f>
        <v>1195.5875528089887</v>
      </c>
      <c r="F7" s="39">
        <v>1183</v>
      </c>
      <c r="G7" s="70">
        <f>-E7+F7</f>
        <v>-12.587552808988676</v>
      </c>
    </row>
    <row r="8" spans="1:7" s="35" customFormat="1" ht="15">
      <c r="A8" s="9" t="s">
        <v>625</v>
      </c>
      <c r="B8" s="106">
        <v>63.34</v>
      </c>
      <c r="C8" s="107">
        <v>0.48</v>
      </c>
      <c r="D8" s="9">
        <f t="shared" si="0"/>
        <v>2.157303370786517</v>
      </c>
      <c r="E8" s="9">
        <f>(B8+D8)*$D$1</f>
        <v>3551.2637887640453</v>
      </c>
      <c r="F8" s="39">
        <f>3513+66</f>
        <v>3579</v>
      </c>
      <c r="G8" s="70">
        <f>-E8+F8</f>
        <v>27.73621123595467</v>
      </c>
    </row>
    <row r="9" spans="1:7" s="35" customFormat="1" ht="15">
      <c r="A9" s="100" t="s">
        <v>260</v>
      </c>
      <c r="B9" s="64"/>
      <c r="C9" s="64">
        <f>0.91+0.19</f>
        <v>1.1</v>
      </c>
      <c r="D9" s="9">
        <f t="shared" si="0"/>
        <v>4.943820224719102</v>
      </c>
      <c r="E9" s="51"/>
      <c r="F9" s="52"/>
      <c r="G9" s="71"/>
    </row>
    <row r="10" spans="1:7" s="43" customFormat="1" ht="15">
      <c r="A10" s="41"/>
      <c r="B10" s="41"/>
      <c r="C10" s="41">
        <f>SUM(C4:C9)</f>
        <v>2.67</v>
      </c>
      <c r="D10" s="41">
        <v>12</v>
      </c>
      <c r="E10" s="41"/>
      <c r="F10" s="41"/>
      <c r="G10" s="41"/>
    </row>
    <row r="13" ht="31.5">
      <c r="A13" s="49"/>
    </row>
    <row r="14" ht="31.5">
      <c r="A14" s="49"/>
    </row>
    <row r="15" ht="15">
      <c r="A15" s="120"/>
    </row>
    <row r="16" ht="15">
      <c r="A16" s="120"/>
    </row>
  </sheetData>
  <sheetProtection/>
  <printOptions/>
  <pageMargins left="0.7" right="0.7" top="0.75" bottom="0.75" header="0.3" footer="0.3"/>
  <pageSetup orientation="portrait" paperSize="9"/>
</worksheet>
</file>

<file path=xl/worksheets/sheet29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41986</v>
      </c>
      <c r="C1" s="31" t="s">
        <v>252</v>
      </c>
      <c r="D1" s="48">
        <v>59.34</v>
      </c>
      <c r="E1" s="28" t="s">
        <v>253</v>
      </c>
    </row>
    <row r="2" s="28" customFormat="1" ht="15">
      <c r="A2" s="46" t="s">
        <v>631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632</v>
      </c>
      <c r="B4" s="118">
        <v>8.71</v>
      </c>
      <c r="C4" s="118">
        <v>0.24</v>
      </c>
      <c r="D4" s="9">
        <f aca="true" t="shared" si="0" ref="D4:D9">C4/$C$10*$D$10</f>
        <v>1.0627306273062729</v>
      </c>
      <c r="E4" s="9">
        <f>(B4+D4)*$D$1</f>
        <v>579.9138354243543</v>
      </c>
      <c r="F4" s="39">
        <v>556</v>
      </c>
      <c r="G4" s="70">
        <f>-E4+F4</f>
        <v>-23.91383542435426</v>
      </c>
    </row>
    <row r="5" spans="1:7" s="35" customFormat="1" ht="15">
      <c r="A5" s="100" t="s">
        <v>184</v>
      </c>
      <c r="B5" s="106">
        <v>22.5</v>
      </c>
      <c r="C5" s="107">
        <v>0.38</v>
      </c>
      <c r="D5" s="9">
        <f t="shared" si="0"/>
        <v>1.682656826568266</v>
      </c>
      <c r="E5" s="9">
        <f>(B5+D5)*$D$1</f>
        <v>1434.998856088561</v>
      </c>
      <c r="F5" s="39">
        <v>1339</v>
      </c>
      <c r="G5" s="70">
        <f>-E5+F5</f>
        <v>-95.99885608856107</v>
      </c>
    </row>
    <row r="6" spans="1:7" s="35" customFormat="1" ht="15">
      <c r="A6" s="125" t="s">
        <v>235</v>
      </c>
      <c r="B6" s="106">
        <v>11.51</v>
      </c>
      <c r="C6" s="107">
        <v>0.19</v>
      </c>
      <c r="D6" s="9">
        <f t="shared" si="0"/>
        <v>0.841328413284133</v>
      </c>
      <c r="E6" s="9">
        <f>(B6+D6)*$D$1</f>
        <v>732.9278280442804</v>
      </c>
      <c r="F6" s="39">
        <v>703</v>
      </c>
      <c r="G6" s="70">
        <f>-E6+F6</f>
        <v>-29.92782804428043</v>
      </c>
    </row>
    <row r="7" spans="1:7" s="35" customFormat="1" ht="15">
      <c r="A7" s="125" t="s">
        <v>143</v>
      </c>
      <c r="B7" s="106">
        <v>12.77</v>
      </c>
      <c r="C7" s="107">
        <v>0.03</v>
      </c>
      <c r="D7" s="9">
        <f t="shared" si="0"/>
        <v>0.1328413284132841</v>
      </c>
      <c r="E7" s="9">
        <f>(B7+D7)*$D$1</f>
        <v>765.6546044280443</v>
      </c>
      <c r="F7" s="39">
        <v>790</v>
      </c>
      <c r="G7" s="70">
        <f>-E7+F7</f>
        <v>24.34539557195569</v>
      </c>
    </row>
    <row r="8" spans="1:7" s="35" customFormat="1" ht="15">
      <c r="A8" s="125" t="s">
        <v>633</v>
      </c>
      <c r="B8" s="106">
        <v>33.12</v>
      </c>
      <c r="C8" s="107">
        <v>0.6</v>
      </c>
      <c r="D8" s="9">
        <f t="shared" si="0"/>
        <v>2.6568265682656826</v>
      </c>
      <c r="E8" s="9">
        <f>(B8+D8)*$D$1</f>
        <v>2122.996888560886</v>
      </c>
      <c r="F8" s="39">
        <f>88+2065</f>
        <v>2153</v>
      </c>
      <c r="G8" s="70">
        <f>-E8+F8</f>
        <v>30.003111439114036</v>
      </c>
    </row>
    <row r="9" spans="1:7" s="35" customFormat="1" ht="15">
      <c r="A9" s="100" t="s">
        <v>260</v>
      </c>
      <c r="B9" s="126"/>
      <c r="C9" s="126">
        <v>1.27</v>
      </c>
      <c r="D9" s="9">
        <f t="shared" si="0"/>
        <v>5.623616236162362</v>
      </c>
      <c r="E9" s="51"/>
      <c r="F9" s="52"/>
      <c r="G9" s="71"/>
    </row>
    <row r="10" spans="1:7" s="43" customFormat="1" ht="15">
      <c r="A10" s="41"/>
      <c r="B10" s="41"/>
      <c r="C10" s="41">
        <f>SUM(C4:C9)</f>
        <v>2.71</v>
      </c>
      <c r="D10" s="41">
        <v>12</v>
      </c>
      <c r="E10" s="41"/>
      <c r="F10" s="41"/>
      <c r="G10" s="41"/>
    </row>
    <row r="13" ht="31.5">
      <c r="A13" s="49"/>
    </row>
    <row r="14" ht="31.5">
      <c r="A14" s="49"/>
    </row>
    <row r="15" ht="15">
      <c r="A15" s="120"/>
    </row>
    <row r="16" ht="15">
      <c r="A16" s="120"/>
    </row>
  </sheetData>
  <sheetProtection/>
  <printOptions/>
  <pageMargins left="0.7" right="0.7" top="0.75" bottom="0.75" header="0.3" footer="0.3"/>
  <pageSetup orientation="portrait" paperSize="9"/>
</worksheet>
</file>

<file path=xl/worksheets/sheet29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41986</v>
      </c>
      <c r="C1" s="31" t="s">
        <v>252</v>
      </c>
      <c r="D1" s="48">
        <v>57.86</v>
      </c>
      <c r="E1" s="28" t="s">
        <v>253</v>
      </c>
    </row>
    <row r="2" s="28" customFormat="1" ht="15">
      <c r="A2" s="46" t="s">
        <v>631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7</v>
      </c>
      <c r="B4" s="118">
        <v>9.44</v>
      </c>
      <c r="C4" s="118">
        <v>0.16</v>
      </c>
      <c r="D4" s="9">
        <f aca="true" t="shared" si="0" ref="D4:D9">C4/$C$10*$D$10</f>
        <v>0.7191011235955056</v>
      </c>
      <c r="E4" s="9">
        <f>(B4+D4)*$D$1</f>
        <v>587.805591011236</v>
      </c>
      <c r="F4" s="39">
        <v>574</v>
      </c>
      <c r="G4" s="70">
        <f>-E4+F4</f>
        <v>-13.805591011235947</v>
      </c>
    </row>
    <row r="5" spans="1:7" s="35" customFormat="1" ht="15">
      <c r="A5" s="100" t="s">
        <v>634</v>
      </c>
      <c r="B5" s="106">
        <v>13.56</v>
      </c>
      <c r="C5" s="107">
        <v>0.11</v>
      </c>
      <c r="D5" s="9">
        <f t="shared" si="0"/>
        <v>0.49438202247191015</v>
      </c>
      <c r="E5" s="9">
        <f>(B5+D5)*$D$1</f>
        <v>813.1865438202248</v>
      </c>
      <c r="F5" s="39">
        <v>800</v>
      </c>
      <c r="G5" s="70">
        <f>-E5+F5</f>
        <v>-13.186543820224756</v>
      </c>
    </row>
    <row r="6" spans="1:7" s="35" customFormat="1" ht="15">
      <c r="A6" s="9" t="s">
        <v>19</v>
      </c>
      <c r="B6" s="106">
        <v>23.16</v>
      </c>
      <c r="C6" s="107">
        <v>0.46</v>
      </c>
      <c r="D6" s="9">
        <f t="shared" si="0"/>
        <v>2.067415730337079</v>
      </c>
      <c r="E6" s="9">
        <f>(B6+D6)*$D$1</f>
        <v>1459.6582741573034</v>
      </c>
      <c r="F6" s="39">
        <v>1435</v>
      </c>
      <c r="G6" s="70">
        <f>-E6+F6</f>
        <v>-24.658274157303367</v>
      </c>
    </row>
    <row r="7" spans="1:7" s="35" customFormat="1" ht="15">
      <c r="A7" s="9" t="s">
        <v>84</v>
      </c>
      <c r="B7" s="106">
        <v>27.8</v>
      </c>
      <c r="C7" s="107">
        <v>0.81</v>
      </c>
      <c r="D7" s="9">
        <f t="shared" si="0"/>
        <v>3.640449438202247</v>
      </c>
      <c r="E7" s="9">
        <f>(B7+D7)*$D$1</f>
        <v>1819.144404494382</v>
      </c>
      <c r="F7" s="39">
        <v>1790</v>
      </c>
      <c r="G7" s="70">
        <f>-E7+F7</f>
        <v>-29.144404494381888</v>
      </c>
    </row>
    <row r="8" spans="1:7" s="35" customFormat="1" ht="15">
      <c r="A8" s="9" t="s">
        <v>570</v>
      </c>
      <c r="B8" s="106">
        <v>25.06</v>
      </c>
      <c r="C8" s="107">
        <v>0.62</v>
      </c>
      <c r="D8" s="9">
        <f t="shared" si="0"/>
        <v>2.7865168539325844</v>
      </c>
      <c r="E8" s="9">
        <f>(B8+D8)*$D$1</f>
        <v>1611.1994651685393</v>
      </c>
      <c r="F8" s="39">
        <v>1584</v>
      </c>
      <c r="G8" s="70">
        <f>-E8+F8</f>
        <v>-27.19946516853929</v>
      </c>
    </row>
    <row r="9" spans="1:7" s="35" customFormat="1" ht="15">
      <c r="A9" s="100" t="s">
        <v>260</v>
      </c>
      <c r="B9" s="64"/>
      <c r="C9" s="64">
        <v>0.51</v>
      </c>
      <c r="D9" s="9">
        <f t="shared" si="0"/>
        <v>2.292134831460674</v>
      </c>
      <c r="E9" s="51"/>
      <c r="F9" s="52"/>
      <c r="G9" s="71"/>
    </row>
    <row r="10" spans="1:7" s="43" customFormat="1" ht="15">
      <c r="A10" s="41"/>
      <c r="B10" s="41"/>
      <c r="C10" s="41">
        <f>SUM(C4:C9)</f>
        <v>2.67</v>
      </c>
      <c r="D10" s="41">
        <v>12</v>
      </c>
      <c r="E10" s="41"/>
      <c r="F10" s="41"/>
      <c r="G10" s="41"/>
    </row>
    <row r="13" ht="31.5">
      <c r="A13" s="49"/>
    </row>
    <row r="14" ht="31.5">
      <c r="A14" s="49"/>
    </row>
    <row r="15" ht="15">
      <c r="A15" s="120"/>
    </row>
    <row r="16" ht="15">
      <c r="A16" s="120"/>
    </row>
  </sheetData>
  <sheetProtection/>
  <printOptions/>
  <pageMargins left="0.7" right="0.7" top="0.75" bottom="0.75" header="0.3" footer="0.3"/>
  <pageSetup orientation="portrait" paperSize="9"/>
</worksheet>
</file>

<file path=xl/worksheets/sheet29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140625" style="0" customWidth="1"/>
    <col min="2" max="2" width="18.8515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28" customFormat="1" ht="21">
      <c r="A1" s="29" t="s">
        <v>251</v>
      </c>
      <c r="B1" s="30">
        <v>41997</v>
      </c>
      <c r="C1" s="31" t="s">
        <v>252</v>
      </c>
      <c r="D1" s="48">
        <v>58.54</v>
      </c>
      <c r="E1" s="28" t="s">
        <v>253</v>
      </c>
    </row>
    <row r="2" s="28" customFormat="1" ht="15">
      <c r="A2" s="46" t="s">
        <v>643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69" t="s">
        <v>263</v>
      </c>
    </row>
    <row r="4" spans="1:7" s="35" customFormat="1" ht="15">
      <c r="A4" s="9" t="s">
        <v>644</v>
      </c>
      <c r="B4" s="118">
        <v>3</v>
      </c>
      <c r="C4" s="118">
        <v>0.03</v>
      </c>
      <c r="D4" s="9">
        <f>C4/$C$12*$D$12</f>
        <v>0.06012024048096192</v>
      </c>
      <c r="E4" s="9">
        <f aca="true" t="shared" si="0" ref="E4:E10">(B4+D4)*$D$1</f>
        <v>179.1394388777555</v>
      </c>
      <c r="F4" s="39">
        <v>167</v>
      </c>
      <c r="G4" s="70">
        <f aca="true" t="shared" si="1" ref="G4:G9">-E4+F4</f>
        <v>-12.13943887775551</v>
      </c>
    </row>
    <row r="5" spans="1:7" s="35" customFormat="1" ht="15">
      <c r="A5" s="100" t="s">
        <v>24</v>
      </c>
      <c r="B5" s="106">
        <v>46.08</v>
      </c>
      <c r="C5" s="107">
        <v>0.92</v>
      </c>
      <c r="D5" s="9">
        <f aca="true" t="shared" si="2" ref="D5:D11">C5/$C$12*$D$12</f>
        <v>1.8436873747494988</v>
      </c>
      <c r="E5" s="9">
        <f t="shared" si="0"/>
        <v>2805.4526589178354</v>
      </c>
      <c r="F5" s="39">
        <v>2615</v>
      </c>
      <c r="G5" s="70">
        <f t="shared" si="1"/>
        <v>-190.45265891783538</v>
      </c>
    </row>
    <row r="6" spans="1:7" s="35" customFormat="1" ht="15">
      <c r="A6" s="9" t="s">
        <v>645</v>
      </c>
      <c r="B6" s="106">
        <v>38.48</v>
      </c>
      <c r="C6" s="107">
        <v>1.47</v>
      </c>
      <c r="D6" s="9">
        <f t="shared" si="2"/>
        <v>2.945891783567134</v>
      </c>
      <c r="E6" s="9">
        <f t="shared" si="0"/>
        <v>2425.0717050100197</v>
      </c>
      <c r="F6" s="39">
        <v>2261</v>
      </c>
      <c r="G6" s="70">
        <f t="shared" si="1"/>
        <v>-164.07170501001974</v>
      </c>
    </row>
    <row r="7" spans="1:7" s="35" customFormat="1" ht="15">
      <c r="A7" s="9" t="s">
        <v>605</v>
      </c>
      <c r="B7" s="106">
        <v>16.81</v>
      </c>
      <c r="C7" s="107">
        <v>1.46</v>
      </c>
      <c r="D7" s="9">
        <f>C7/$C$12*$D$12</f>
        <v>2.9258517034068134</v>
      </c>
      <c r="E7" s="9">
        <f t="shared" si="0"/>
        <v>1155.3367587174348</v>
      </c>
      <c r="F7" s="39">
        <v>1047</v>
      </c>
      <c r="G7" s="70">
        <f t="shared" si="1"/>
        <v>-108.3367587174348</v>
      </c>
    </row>
    <row r="8" spans="1:7" s="35" customFormat="1" ht="15">
      <c r="A8" s="9" t="s">
        <v>206</v>
      </c>
      <c r="B8" s="106">
        <v>3.64</v>
      </c>
      <c r="C8" s="107">
        <v>0.04</v>
      </c>
      <c r="D8" s="9">
        <f>C8/$C$12*$D$12</f>
        <v>0.08016032064128256</v>
      </c>
      <c r="E8" s="9">
        <f t="shared" si="0"/>
        <v>217.7781851703407</v>
      </c>
      <c r="F8" s="39">
        <v>203</v>
      </c>
      <c r="G8" s="70">
        <f t="shared" si="1"/>
        <v>-14.778185170340691</v>
      </c>
    </row>
    <row r="9" spans="1:7" s="35" customFormat="1" ht="15">
      <c r="A9" s="9" t="s">
        <v>25</v>
      </c>
      <c r="B9" s="94">
        <v>8.04</v>
      </c>
      <c r="C9" s="95">
        <v>0.32</v>
      </c>
      <c r="D9" s="9">
        <f>C9/$C$12*$D$12</f>
        <v>0.6412825651302605</v>
      </c>
      <c r="E9" s="9">
        <f t="shared" si="0"/>
        <v>508.20228136272544</v>
      </c>
      <c r="F9" s="39">
        <v>474</v>
      </c>
      <c r="G9" s="70">
        <f t="shared" si="1"/>
        <v>-34.202281362725444</v>
      </c>
    </row>
    <row r="10" spans="1:7" s="35" customFormat="1" ht="15">
      <c r="A10" s="100" t="s">
        <v>230</v>
      </c>
      <c r="B10" s="94">
        <v>8.62</v>
      </c>
      <c r="C10" s="95">
        <v>0.32</v>
      </c>
      <c r="D10" s="9">
        <f>C10/$C$12*$D$12</f>
        <v>0.6412825651302605</v>
      </c>
      <c r="E10" s="9">
        <f t="shared" si="0"/>
        <v>542.1554813627255</v>
      </c>
      <c r="F10" s="39">
        <v>507</v>
      </c>
      <c r="G10" s="70">
        <f>-E10+F10</f>
        <v>-35.15548136272548</v>
      </c>
    </row>
    <row r="11" spans="1:7" s="35" customFormat="1" ht="15">
      <c r="A11" s="100" t="s">
        <v>260</v>
      </c>
      <c r="B11" s="64"/>
      <c r="C11" s="64">
        <v>0.43</v>
      </c>
      <c r="D11" s="9">
        <f t="shared" si="2"/>
        <v>0.8617234468937874</v>
      </c>
      <c r="E11" s="51"/>
      <c r="F11" s="52"/>
      <c r="G11" s="71"/>
    </row>
    <row r="12" spans="1:7" s="43" customFormat="1" ht="15">
      <c r="A12" s="41"/>
      <c r="B12" s="41"/>
      <c r="C12" s="41">
        <f>SUM(C4:C11)</f>
        <v>4.99</v>
      </c>
      <c r="D12" s="41">
        <v>10</v>
      </c>
      <c r="E12" s="41"/>
      <c r="F12" s="41"/>
      <c r="G12" s="41"/>
    </row>
    <row r="15" ht="31.5">
      <c r="A15" s="49"/>
    </row>
    <row r="16" ht="31.5">
      <c r="A16" s="49"/>
    </row>
    <row r="17" ht="15">
      <c r="A17" s="120"/>
    </row>
    <row r="18" ht="15">
      <c r="A18" s="1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41154</v>
      </c>
      <c r="C1" s="31" t="s">
        <v>252</v>
      </c>
      <c r="D1" s="32">
        <f>32.5669*1.02</f>
        <v>33.218238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47</v>
      </c>
      <c r="B4" s="9">
        <v>18.98</v>
      </c>
      <c r="C4" s="9">
        <v>1.29</v>
      </c>
      <c r="D4" s="9">
        <f>C4/C6*D6</f>
        <v>4.526315789473684</v>
      </c>
      <c r="E4" s="9">
        <f>(B4+D4)*$D$1</f>
        <v>780.8383923978947</v>
      </c>
      <c r="F4" s="39">
        <f>616+165</f>
        <v>781</v>
      </c>
      <c r="G4" s="39">
        <f>-E4+F4</f>
        <v>0.1616076021052777</v>
      </c>
    </row>
    <row r="5" spans="1:7" ht="15">
      <c r="A5" s="9" t="s">
        <v>73</v>
      </c>
      <c r="B5" s="9">
        <v>7.9</v>
      </c>
      <c r="C5" s="9">
        <v>0.42</v>
      </c>
      <c r="D5" s="9">
        <f>C5/C6*D6</f>
        <v>1.4736842105263157</v>
      </c>
      <c r="E5" s="9">
        <f>(B5+C5+D5)*$D$1</f>
        <v>325.32893300210526</v>
      </c>
      <c r="F5" s="39"/>
      <c r="G5" s="39">
        <f>-E5</f>
        <v>-325.32893300210526</v>
      </c>
    </row>
    <row r="6" spans="1:7" ht="15">
      <c r="A6" s="36"/>
      <c r="B6" s="36"/>
      <c r="C6" s="36">
        <f>SUM(C4:C5)</f>
        <v>1.71</v>
      </c>
      <c r="D6" s="36">
        <v>6</v>
      </c>
      <c r="E6" s="36">
        <f>(B6+C6+D6)*$D$1</f>
        <v>256.11261498</v>
      </c>
      <c r="F6" s="11"/>
      <c r="G6" s="11"/>
    </row>
    <row r="9" ht="15">
      <c r="A9" s="38" t="s">
        <v>261</v>
      </c>
    </row>
    <row r="10" ht="15">
      <c r="A10" s="38" t="s">
        <v>262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41240</v>
      </c>
      <c r="C1" s="31" t="s">
        <v>252</v>
      </c>
      <c r="D1" s="32">
        <v>30.812</v>
      </c>
      <c r="E1" s="28" t="s">
        <v>253</v>
      </c>
    </row>
    <row r="2" ht="15">
      <c r="A2" s="45" t="s">
        <v>280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84</v>
      </c>
      <c r="B4" s="9">
        <v>43.44</v>
      </c>
      <c r="C4" s="9">
        <v>2.35</v>
      </c>
      <c r="D4" s="9">
        <f>C4/$C$8*$D$8</f>
        <v>6.092592592592593</v>
      </c>
      <c r="E4" s="9">
        <f>(B4+D4)*$D$1</f>
        <v>1526.198242962963</v>
      </c>
      <c r="F4" s="39">
        <v>1805</v>
      </c>
      <c r="G4" s="39">
        <f>-E4+F4</f>
        <v>278.8017570370371</v>
      </c>
    </row>
    <row r="5" spans="1:7" s="35" customFormat="1" ht="15">
      <c r="A5" s="13" t="s">
        <v>220</v>
      </c>
      <c r="B5" s="9">
        <v>1.8</v>
      </c>
      <c r="C5" s="9">
        <v>0.03</v>
      </c>
      <c r="D5" s="9">
        <f>C5/$C$8*$D$8</f>
        <v>0.07777777777777777</v>
      </c>
      <c r="E5" s="9">
        <f>(B5+D5)*$D$1</f>
        <v>57.858088888888894</v>
      </c>
      <c r="F5" s="39">
        <v>56</v>
      </c>
      <c r="G5" s="39">
        <f>-E5+F5</f>
        <v>-1.8580888888888936</v>
      </c>
    </row>
    <row r="6" spans="1:7" ht="15">
      <c r="A6" s="11" t="s">
        <v>264</v>
      </c>
      <c r="B6" s="11">
        <v>6.92</v>
      </c>
      <c r="C6" s="11">
        <v>0.08</v>
      </c>
      <c r="D6" s="9">
        <f>C6/$C$8*$D$8</f>
        <v>0.2074074074074074</v>
      </c>
      <c r="E6" s="9">
        <f>(B6+D6)*$D$1</f>
        <v>219.60967703703705</v>
      </c>
      <c r="F6" s="11">
        <v>241</v>
      </c>
      <c r="G6" s="39">
        <f>-E6+F6</f>
        <v>21.390322962962955</v>
      </c>
    </row>
    <row r="7" spans="1:7" ht="15">
      <c r="A7" s="28" t="s">
        <v>274</v>
      </c>
      <c r="B7" s="11">
        <v>24.03</v>
      </c>
      <c r="C7" s="11">
        <v>0.24</v>
      </c>
      <c r="D7" s="9">
        <f>C7/$C$8*$D$8</f>
        <v>0.6222222222222221</v>
      </c>
      <c r="E7" s="9"/>
      <c r="F7" s="11"/>
      <c r="G7" s="39"/>
    </row>
    <row r="8" spans="1:7" ht="15">
      <c r="A8" s="41" t="s">
        <v>276</v>
      </c>
      <c r="B8" s="36"/>
      <c r="C8" s="41">
        <f>SUM(C4:C7)</f>
        <v>2.7</v>
      </c>
      <c r="D8" s="41">
        <v>7</v>
      </c>
      <c r="E8" s="36"/>
      <c r="F8" s="11"/>
      <c r="G8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G7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41240</v>
      </c>
      <c r="C1" s="31" t="s">
        <v>252</v>
      </c>
      <c r="D1" s="32">
        <v>30.812</v>
      </c>
      <c r="E1" s="28" t="s">
        <v>253</v>
      </c>
    </row>
    <row r="2" ht="15">
      <c r="A2" s="45" t="s">
        <v>280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45</v>
      </c>
      <c r="B4" s="9">
        <v>12.44</v>
      </c>
      <c r="C4" s="9">
        <v>0.35</v>
      </c>
      <c r="D4" s="9">
        <f>C4/$C$7*$D$7</f>
        <v>0.9176029962546816</v>
      </c>
      <c r="E4" s="9">
        <f>(B4+D4)*$D$1</f>
        <v>411.57446352059924</v>
      </c>
      <c r="F4" s="39">
        <v>417</v>
      </c>
      <c r="G4" s="39">
        <f>-E4+F4</f>
        <v>5.425536479400762</v>
      </c>
    </row>
    <row r="5" spans="1:7" s="35" customFormat="1" ht="15">
      <c r="A5" s="13" t="s">
        <v>266</v>
      </c>
      <c r="B5" s="9">
        <v>32.68</v>
      </c>
      <c r="C5" s="9">
        <v>1.55</v>
      </c>
      <c r="D5" s="9">
        <f>C5/$C$7*$D$7</f>
        <v>4.0636704119850195</v>
      </c>
      <c r="E5" s="9">
        <f>(B5+D5)*$D$1</f>
        <v>1132.1459727340825</v>
      </c>
      <c r="F5" s="39">
        <v>1151</v>
      </c>
      <c r="G5" s="39">
        <f>-E5+F5</f>
        <v>18.854027265917466</v>
      </c>
    </row>
    <row r="6" spans="1:7" ht="15">
      <c r="A6" s="28" t="s">
        <v>274</v>
      </c>
      <c r="B6" s="11">
        <v>34.62</v>
      </c>
      <c r="C6" s="11">
        <v>0.77</v>
      </c>
      <c r="D6" s="9">
        <f>C6/$C$7*$D$7</f>
        <v>2.0187265917603</v>
      </c>
      <c r="E6" s="9"/>
      <c r="F6" s="11"/>
      <c r="G6" s="39"/>
    </row>
    <row r="7" spans="1:7" ht="15">
      <c r="A7" s="41" t="s">
        <v>276</v>
      </c>
      <c r="B7" s="36"/>
      <c r="C7" s="41">
        <f>SUM(C4:C6)</f>
        <v>2.67</v>
      </c>
      <c r="D7" s="41">
        <v>7</v>
      </c>
      <c r="E7" s="36"/>
      <c r="F7" s="11"/>
      <c r="G7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41247</v>
      </c>
      <c r="C1" s="31" t="s">
        <v>252</v>
      </c>
      <c r="D1" s="32">
        <v>30.9941</v>
      </c>
      <c r="E1" s="28" t="s">
        <v>253</v>
      </c>
    </row>
    <row r="2" ht="15">
      <c r="A2" s="46" t="s">
        <v>282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260</v>
      </c>
      <c r="B4" s="9">
        <v>8.96</v>
      </c>
      <c r="C4" s="9">
        <v>0.05</v>
      </c>
      <c r="D4" s="9">
        <f>C4/$C$8*$D$8</f>
        <v>0.1310861423220974</v>
      </c>
      <c r="E4" s="9">
        <f>(B4+D4)*$D$1</f>
        <v>281.7700330037453</v>
      </c>
      <c r="F4" s="39"/>
      <c r="G4" s="39"/>
    </row>
    <row r="5" spans="1:7" s="35" customFormat="1" ht="15">
      <c r="A5" s="9" t="s">
        <v>70</v>
      </c>
      <c r="B5" s="9">
        <v>18.33</v>
      </c>
      <c r="C5" s="9">
        <v>1.26</v>
      </c>
      <c r="D5" s="9">
        <f>C5/$C$8*$D$8</f>
        <v>3.3033707865168545</v>
      </c>
      <c r="E5" s="9">
        <f>(B5+D5)*$D$1</f>
        <v>670.506857494382</v>
      </c>
      <c r="F5" s="39">
        <v>677</v>
      </c>
      <c r="G5" s="39">
        <f>-E5+F5</f>
        <v>6.493142505618039</v>
      </c>
    </row>
    <row r="6" spans="1:8" s="35" customFormat="1" ht="15">
      <c r="A6" s="13" t="s">
        <v>264</v>
      </c>
      <c r="B6" s="9">
        <v>28.51</v>
      </c>
      <c r="C6" s="40">
        <v>1.31</v>
      </c>
      <c r="D6" s="9">
        <f>C6/$C$8*$D$8</f>
        <v>3.4344569288389515</v>
      </c>
      <c r="E6" s="9">
        <f>(B6+D6)*$D$1</f>
        <v>990.0896924981274</v>
      </c>
      <c r="F6" s="39">
        <v>1000</v>
      </c>
      <c r="G6" s="39">
        <f>-E6+F6</f>
        <v>9.91030750187258</v>
      </c>
      <c r="H6" s="42"/>
    </row>
    <row r="7" spans="1:7" s="35" customFormat="1" ht="15">
      <c r="A7" s="13" t="s">
        <v>233</v>
      </c>
      <c r="B7" s="9">
        <v>8.96</v>
      </c>
      <c r="C7" s="9">
        <v>0.05</v>
      </c>
      <c r="D7" s="9">
        <f>C7/$C$8*$D$8</f>
        <v>0.1310861423220974</v>
      </c>
      <c r="E7" s="9">
        <f>(B7+D7)*$D$1</f>
        <v>281.7700330037453</v>
      </c>
      <c r="F7" s="39">
        <v>285</v>
      </c>
      <c r="G7" s="39">
        <f>-E7+F7</f>
        <v>3.2299669962546886</v>
      </c>
    </row>
    <row r="8" spans="1:7" s="43" customFormat="1" ht="15">
      <c r="A8" s="41"/>
      <c r="B8" s="41"/>
      <c r="C8" s="41">
        <f>SUM(C4:C7)</f>
        <v>2.67</v>
      </c>
      <c r="D8" s="41">
        <v>7</v>
      </c>
      <c r="E8" s="41"/>
      <c r="F8" s="41"/>
      <c r="G8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41247</v>
      </c>
      <c r="C1" s="31" t="s">
        <v>252</v>
      </c>
      <c r="D1" s="32">
        <v>30.9941</v>
      </c>
      <c r="E1" s="28" t="s">
        <v>253</v>
      </c>
    </row>
    <row r="2" ht="15">
      <c r="A2" s="46" t="s">
        <v>282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260</v>
      </c>
      <c r="B4" s="9">
        <v>37.14</v>
      </c>
      <c r="C4" s="9">
        <v>0.35</v>
      </c>
      <c r="D4" s="9">
        <f>C4/$C$7*$D$7</f>
        <v>0.9417040358744393</v>
      </c>
      <c r="E4" s="9">
        <f>(B4+D4)*$D$1</f>
        <v>1180.3081430582959</v>
      </c>
      <c r="F4" s="39"/>
      <c r="G4" s="39"/>
    </row>
    <row r="5" spans="1:7" s="35" customFormat="1" ht="15">
      <c r="A5" s="9" t="s">
        <v>56</v>
      </c>
      <c r="B5" s="9">
        <v>19.33</v>
      </c>
      <c r="C5" s="9">
        <v>0.89</v>
      </c>
      <c r="D5" s="9">
        <f>C5/$C$7*$D$7</f>
        <v>2.3946188340807173</v>
      </c>
      <c r="E5" s="9">
        <f>(B5+D5)*$D$1</f>
        <v>673.3350086053811</v>
      </c>
      <c r="F5" s="39"/>
      <c r="G5" s="39">
        <f>-E5+F5</f>
        <v>-673.3350086053811</v>
      </c>
    </row>
    <row r="6" spans="1:8" s="35" customFormat="1" ht="15">
      <c r="A6" s="13" t="s">
        <v>84</v>
      </c>
      <c r="B6" s="9">
        <v>6.48</v>
      </c>
      <c r="C6" s="40">
        <v>0.99</v>
      </c>
      <c r="D6" s="9">
        <f>C6/$C$7*$D$7</f>
        <v>2.663677130044843</v>
      </c>
      <c r="E6" s="9">
        <f>(B6+D6)*$D$1</f>
        <v>283.4000433363229</v>
      </c>
      <c r="F6" s="39"/>
      <c r="G6" s="39">
        <f>-E6+F6</f>
        <v>-283.4000433363229</v>
      </c>
      <c r="H6" s="42"/>
    </row>
    <row r="7" spans="1:7" s="43" customFormat="1" ht="15">
      <c r="A7" s="41"/>
      <c r="B7" s="41"/>
      <c r="C7" s="41">
        <f>SUM(C4:C6)</f>
        <v>2.23</v>
      </c>
      <c r="D7" s="41">
        <v>6</v>
      </c>
      <c r="E7" s="41"/>
      <c r="F7" s="41"/>
      <c r="G7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G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41250</v>
      </c>
      <c r="C1" s="31" t="s">
        <v>252</v>
      </c>
      <c r="D1" s="32">
        <v>30.97</v>
      </c>
      <c r="E1" s="28" t="s">
        <v>253</v>
      </c>
    </row>
    <row r="2" ht="15">
      <c r="A2" s="46" t="s">
        <v>283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70</v>
      </c>
      <c r="B4" s="9">
        <v>59.59</v>
      </c>
      <c r="C4" s="9">
        <v>2.63</v>
      </c>
      <c r="D4" s="9">
        <v>7</v>
      </c>
      <c r="E4" s="9">
        <f>(B4+D4)*$D$1</f>
        <v>2062.2923</v>
      </c>
      <c r="F4" s="39">
        <v>2079</v>
      </c>
      <c r="G4" s="39">
        <f>-E4+F4</f>
        <v>16.70769999999993</v>
      </c>
    </row>
    <row r="5" spans="1:7" s="43" customFormat="1" ht="15">
      <c r="A5" s="41"/>
      <c r="B5" s="41"/>
      <c r="C5" s="41">
        <f>SUM(C4:C4)</f>
        <v>2.63</v>
      </c>
      <c r="D5" s="41">
        <v>7</v>
      </c>
      <c r="E5" s="41"/>
      <c r="F5" s="41"/>
      <c r="G5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G5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41250</v>
      </c>
      <c r="C1" s="31" t="s">
        <v>252</v>
      </c>
      <c r="D1" s="32">
        <v>30.97</v>
      </c>
      <c r="E1" s="28" t="s">
        <v>253</v>
      </c>
    </row>
    <row r="2" ht="15">
      <c r="A2" s="46" t="s">
        <v>283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279</v>
      </c>
      <c r="B4" s="9">
        <v>73.81</v>
      </c>
      <c r="C4" s="9">
        <v>2.27</v>
      </c>
      <c r="D4" s="9">
        <f>C4/$C$5*$D$5</f>
        <v>6</v>
      </c>
      <c r="E4" s="9">
        <f>(B4+D4)*$D$1</f>
        <v>2471.7157</v>
      </c>
      <c r="F4" s="39">
        <v>2000</v>
      </c>
      <c r="G4" s="39">
        <f>-E4+F4</f>
        <v>-471.7157000000002</v>
      </c>
    </row>
    <row r="5" spans="1:7" s="43" customFormat="1" ht="15">
      <c r="A5" s="41"/>
      <c r="B5" s="41"/>
      <c r="C5" s="41">
        <f>SUM(C4:C4)</f>
        <v>2.27</v>
      </c>
      <c r="D5" s="41">
        <v>6</v>
      </c>
      <c r="E5" s="41"/>
      <c r="F5" s="41"/>
      <c r="G5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8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41250</v>
      </c>
      <c r="C1" s="31" t="s">
        <v>252</v>
      </c>
      <c r="D1" s="32">
        <v>30.97</v>
      </c>
      <c r="E1" s="28" t="s">
        <v>253</v>
      </c>
    </row>
    <row r="2" ht="15">
      <c r="A2" s="46" t="s">
        <v>283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260</v>
      </c>
      <c r="B4" s="9">
        <v>9.47</v>
      </c>
      <c r="C4" s="9">
        <v>0.33</v>
      </c>
      <c r="D4" s="9">
        <f>C4/$C$8*$D$8</f>
        <v>0.904109589041096</v>
      </c>
      <c r="E4" s="9"/>
      <c r="F4" s="39"/>
      <c r="G4" s="39"/>
    </row>
    <row r="5" spans="1:7" s="35" customFormat="1" ht="15">
      <c r="A5" s="35" t="s">
        <v>266</v>
      </c>
      <c r="B5" s="9">
        <v>39.17</v>
      </c>
      <c r="C5" s="9">
        <v>0.92</v>
      </c>
      <c r="D5" s="9">
        <f>C5/$C$8*$D$8</f>
        <v>2.5205479452054798</v>
      </c>
      <c r="E5" s="9">
        <f>(B5+D5)*$D$1</f>
        <v>1291.1562698630137</v>
      </c>
      <c r="F5" s="39">
        <v>1300</v>
      </c>
      <c r="G5" s="39">
        <f>-E5+F5</f>
        <v>8.843730136986323</v>
      </c>
    </row>
    <row r="6" spans="1:7" s="35" customFormat="1" ht="15">
      <c r="A6" s="9" t="s">
        <v>111</v>
      </c>
      <c r="B6" s="9">
        <v>6.59</v>
      </c>
      <c r="C6" s="9">
        <v>0.13</v>
      </c>
      <c r="D6" s="9">
        <f>C6/$C$8*$D$8</f>
        <v>0.35616438356164387</v>
      </c>
      <c r="E6" s="9">
        <f>(B6+D6)*$D$1</f>
        <v>215.1227109589041</v>
      </c>
      <c r="F6" s="39">
        <v>217</v>
      </c>
      <c r="G6" s="39">
        <f>-E6+F6</f>
        <v>1.8772890410959064</v>
      </c>
    </row>
    <row r="7" spans="1:8" s="35" customFormat="1" ht="15">
      <c r="A7" s="9" t="s">
        <v>279</v>
      </c>
      <c r="B7" s="9">
        <v>19.08</v>
      </c>
      <c r="C7" s="40">
        <v>0.81</v>
      </c>
      <c r="D7" s="9">
        <f>C7/$C$8*$D$8</f>
        <v>2.219178082191781</v>
      </c>
      <c r="E7" s="9">
        <f>(B7+D7)*$D$1</f>
        <v>659.6355452054794</v>
      </c>
      <c r="F7" s="39">
        <v>1837</v>
      </c>
      <c r="G7" s="39">
        <f>-E7+F7</f>
        <v>1177.3644547945205</v>
      </c>
      <c r="H7" s="42"/>
    </row>
    <row r="8" spans="1:7" s="43" customFormat="1" ht="15">
      <c r="A8" s="41"/>
      <c r="B8" s="41"/>
      <c r="C8" s="41">
        <f>SUM(C4:C7)</f>
        <v>2.19</v>
      </c>
      <c r="D8" s="41">
        <v>6</v>
      </c>
      <c r="E8" s="41"/>
      <c r="F8" s="41"/>
      <c r="G8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6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41250</v>
      </c>
      <c r="C1" s="31" t="s">
        <v>252</v>
      </c>
      <c r="D1" s="32">
        <v>30.97</v>
      </c>
      <c r="E1" s="28" t="s">
        <v>253</v>
      </c>
    </row>
    <row r="2" ht="15">
      <c r="A2" s="46" t="s">
        <v>283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8" s="35" customFormat="1" ht="30">
      <c r="A4" s="35" t="s">
        <v>216</v>
      </c>
      <c r="B4" s="9">
        <v>30.14</v>
      </c>
      <c r="C4" s="9">
        <v>0.78</v>
      </c>
      <c r="D4" s="9">
        <f>C4/$C$6*$D$6</f>
        <v>2.1566820276497696</v>
      </c>
      <c r="E4" s="9">
        <f>(B4+D4)*$D$1</f>
        <v>1000.2282423963135</v>
      </c>
      <c r="F4" s="39">
        <f>1122-11</f>
        <v>1111</v>
      </c>
      <c r="G4" s="39">
        <f>-E4+F4</f>
        <v>110.77175760368652</v>
      </c>
      <c r="H4" s="35" t="s">
        <v>284</v>
      </c>
    </row>
    <row r="5" spans="1:7" s="35" customFormat="1" ht="15">
      <c r="A5" s="9" t="s">
        <v>204</v>
      </c>
      <c r="B5" s="9">
        <v>41.65</v>
      </c>
      <c r="C5" s="9">
        <v>1.39</v>
      </c>
      <c r="D5" s="9">
        <f>C5/$C$6*$D$6</f>
        <v>3.8433179723502304</v>
      </c>
      <c r="E5" s="9">
        <f>(B5+D5)*$D$1</f>
        <v>1408.9280576036865</v>
      </c>
      <c r="F5" s="39">
        <v>1420</v>
      </c>
      <c r="G5" s="39">
        <f>-E5+F5</f>
        <v>11.071942396313489</v>
      </c>
    </row>
    <row r="6" spans="1:7" s="43" customFormat="1" ht="15">
      <c r="A6" s="41"/>
      <c r="B6" s="41"/>
      <c r="C6" s="41">
        <f>SUM(C4:C5)</f>
        <v>2.17</v>
      </c>
      <c r="D6" s="41">
        <v>6</v>
      </c>
      <c r="E6" s="41"/>
      <c r="F6" s="41"/>
      <c r="G6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8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41250</v>
      </c>
      <c r="C1" s="31" t="s">
        <v>252</v>
      </c>
      <c r="D1" s="32">
        <v>30.97</v>
      </c>
      <c r="E1" s="28" t="s">
        <v>253</v>
      </c>
    </row>
    <row r="2" ht="15">
      <c r="A2" s="46" t="s">
        <v>285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260</v>
      </c>
      <c r="B4" s="9">
        <v>28.29</v>
      </c>
      <c r="C4" s="9">
        <v>0.12</v>
      </c>
      <c r="D4" s="9">
        <f>C4/$C$8*$D$8</f>
        <v>0.33333333333333337</v>
      </c>
      <c r="E4" s="9">
        <f>(B4+D4)*$D$1</f>
        <v>886.4646333333333</v>
      </c>
      <c r="F4" s="39"/>
      <c r="G4" s="39">
        <f>-E4+F4</f>
        <v>-886.4646333333333</v>
      </c>
    </row>
    <row r="5" spans="1:7" s="35" customFormat="1" ht="15">
      <c r="A5" s="9" t="s">
        <v>286</v>
      </c>
      <c r="B5" s="9">
        <v>10.79</v>
      </c>
      <c r="C5" s="9">
        <v>0.28</v>
      </c>
      <c r="D5" s="9">
        <f>C5/$C$8*$D$8</f>
        <v>0.7777777777777779</v>
      </c>
      <c r="E5" s="9">
        <f>(B5+D5)*$D$1</f>
        <v>358.25407777777775</v>
      </c>
      <c r="F5" s="39"/>
      <c r="G5" s="39">
        <f>-E5+F5</f>
        <v>-358.25407777777775</v>
      </c>
    </row>
    <row r="6" spans="1:7" s="35" customFormat="1" ht="15">
      <c r="A6" s="9" t="s">
        <v>264</v>
      </c>
      <c r="B6" s="9">
        <v>27.9</v>
      </c>
      <c r="C6" s="9">
        <v>1.46</v>
      </c>
      <c r="D6" s="9">
        <f>C6/$C$8*$D$8</f>
        <v>4.055555555555556</v>
      </c>
      <c r="E6" s="9">
        <f>(B6+D6)*$D$1</f>
        <v>989.6635555555555</v>
      </c>
      <c r="F6" s="39">
        <v>998</v>
      </c>
      <c r="G6" s="39">
        <f>-E6+F6</f>
        <v>8.33644444444451</v>
      </c>
    </row>
    <row r="7" spans="1:8" s="35" customFormat="1" ht="15">
      <c r="A7" s="9" t="s">
        <v>129</v>
      </c>
      <c r="B7" s="9">
        <v>2.92</v>
      </c>
      <c r="C7" s="40">
        <v>0.3</v>
      </c>
      <c r="D7" s="9">
        <f>C7/$C$8*$D$8</f>
        <v>0.8333333333333334</v>
      </c>
      <c r="E7" s="9">
        <f>(B7+D7)*$D$1</f>
        <v>116.24073333333334</v>
      </c>
      <c r="F7" s="39">
        <v>121</v>
      </c>
      <c r="G7" s="39">
        <f>-E7+F7</f>
        <v>4.759266666666662</v>
      </c>
      <c r="H7" s="42"/>
    </row>
    <row r="8" spans="1:7" s="43" customFormat="1" ht="15">
      <c r="A8" s="41"/>
      <c r="B8" s="41"/>
      <c r="C8" s="41">
        <f>SUM(C4:C7)</f>
        <v>2.1599999999999997</v>
      </c>
      <c r="D8" s="41">
        <v>6</v>
      </c>
      <c r="E8" s="41"/>
      <c r="F8" s="41"/>
      <c r="G8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9"/>
  <sheetViews>
    <sheetView zoomScalePageLayoutView="0" workbookViewId="0" topLeftCell="A1">
      <selection activeCell="A11" sqref="A11:A15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41258</v>
      </c>
      <c r="C1" s="31" t="s">
        <v>252</v>
      </c>
      <c r="D1" s="32">
        <v>30.69</v>
      </c>
      <c r="E1" s="28" t="s">
        <v>253</v>
      </c>
    </row>
    <row r="2" ht="15">
      <c r="A2" s="46" t="s">
        <v>287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260</v>
      </c>
      <c r="B4" s="9">
        <v>6.05</v>
      </c>
      <c r="C4" s="9">
        <v>0.14</v>
      </c>
      <c r="D4" s="9">
        <f>C4/$C$9*$D$9</f>
        <v>0.3614902250092217</v>
      </c>
      <c r="E4" s="36"/>
      <c r="F4" s="47"/>
      <c r="G4" s="47"/>
    </row>
    <row r="5" spans="1:7" s="35" customFormat="1" ht="15">
      <c r="A5" s="9" t="s">
        <v>277</v>
      </c>
      <c r="B5" s="9">
        <v>23.68</v>
      </c>
      <c r="C5" s="9">
        <v>0.22</v>
      </c>
      <c r="D5" s="9">
        <f>C5/$C$9*$D$9</f>
        <v>0.568056067871634</v>
      </c>
      <c r="E5" s="9">
        <f>(B5+D5)*$D$1</f>
        <v>744.1728407229805</v>
      </c>
      <c r="F5" s="39">
        <v>752</v>
      </c>
      <c r="G5" s="39">
        <f>-E5+F5</f>
        <v>7.827159277019518</v>
      </c>
    </row>
    <row r="6" spans="1:7" s="35" customFormat="1" ht="15">
      <c r="A6" s="9" t="s">
        <v>180</v>
      </c>
      <c r="B6" s="9">
        <v>11.57</v>
      </c>
      <c r="C6" s="9">
        <v>0.65</v>
      </c>
      <c r="D6" s="9">
        <f>C6/$C$9*$D$9</f>
        <v>1.6783474732571007</v>
      </c>
      <c r="E6" s="9">
        <f>(B6+D6)*$D$1</f>
        <v>406.59178395426045</v>
      </c>
      <c r="F6" s="39">
        <v>411</v>
      </c>
      <c r="G6" s="39">
        <f>-E6+F6</f>
        <v>4.40821604573955</v>
      </c>
    </row>
    <row r="7" spans="1:7" s="35" customFormat="1" ht="15">
      <c r="A7" s="9" t="s">
        <v>264</v>
      </c>
      <c r="B7" s="9">
        <v>23.57</v>
      </c>
      <c r="C7" s="9">
        <v>0.941</v>
      </c>
      <c r="D7" s="9">
        <f>C7/$C$9*$D$9</f>
        <v>2.4297307266691255</v>
      </c>
      <c r="E7" s="9">
        <f>(B7+D7)*$D$1</f>
        <v>797.9317360014754</v>
      </c>
      <c r="F7" s="39">
        <v>806</v>
      </c>
      <c r="G7" s="39">
        <f>-E7+F7</f>
        <v>8.068263998524571</v>
      </c>
    </row>
    <row r="8" spans="1:8" s="35" customFormat="1" ht="15">
      <c r="A8" s="9" t="s">
        <v>69</v>
      </c>
      <c r="B8" s="9">
        <v>11.46</v>
      </c>
      <c r="C8" s="40">
        <v>0.76</v>
      </c>
      <c r="D8" s="9">
        <f>C8/$C$9*$D$9</f>
        <v>1.9623755071929174</v>
      </c>
      <c r="E8" s="9">
        <f>(B8+D8)*$D$1</f>
        <v>411.93270431575064</v>
      </c>
      <c r="F8" s="39">
        <v>420</v>
      </c>
      <c r="G8" s="39">
        <f>-E8+F8</f>
        <v>8.067295684249359</v>
      </c>
      <c r="H8" s="42"/>
    </row>
    <row r="9" spans="1:7" s="43" customFormat="1" ht="15">
      <c r="A9" s="41"/>
      <c r="B9" s="41"/>
      <c r="C9" s="41">
        <f>SUM(C4:C8)</f>
        <v>2.7110000000000003</v>
      </c>
      <c r="D9" s="41">
        <v>7</v>
      </c>
      <c r="E9" s="41"/>
      <c r="F9" s="41"/>
      <c r="G9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41154</v>
      </c>
      <c r="C1" s="31" t="s">
        <v>252</v>
      </c>
      <c r="D1" s="32">
        <f>32.2</f>
        <v>32.2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247</v>
      </c>
      <c r="B4" s="9">
        <v>5.04</v>
      </c>
      <c r="C4" s="9">
        <v>0.16</v>
      </c>
      <c r="D4" s="9">
        <f>C4/$C$9*$D$9</f>
        <v>0.37624926513815404</v>
      </c>
      <c r="E4" s="9">
        <f>(B4+D4)*$D$1</f>
        <v>174.40322633744856</v>
      </c>
      <c r="F4" s="39">
        <v>180</v>
      </c>
      <c r="G4" s="39">
        <f>-E4+F4</f>
        <v>5.596773662551442</v>
      </c>
    </row>
    <row r="5" spans="1:7" s="35" customFormat="1" ht="15">
      <c r="A5" s="9" t="s">
        <v>241</v>
      </c>
      <c r="B5" s="9">
        <v>8.16</v>
      </c>
      <c r="C5" s="9">
        <v>0.27</v>
      </c>
      <c r="D5" s="9">
        <f>C5/$C$9*$D$9</f>
        <v>0.6349206349206349</v>
      </c>
      <c r="E5" s="9">
        <f>(B5+D5)*$D$1</f>
        <v>283.19644444444447</v>
      </c>
      <c r="F5" s="39">
        <f>252+31</f>
        <v>283</v>
      </c>
      <c r="G5" s="39">
        <f>-E5+F5</f>
        <v>-0.19644444444446663</v>
      </c>
    </row>
    <row r="6" spans="1:7" s="35" customFormat="1" ht="15">
      <c r="A6" s="9" t="s">
        <v>204</v>
      </c>
      <c r="B6" s="9">
        <v>7.63</v>
      </c>
      <c r="C6" s="9">
        <v>0.27</v>
      </c>
      <c r="D6" s="9">
        <f>C6/$C$9*$D$9</f>
        <v>0.6349206349206349</v>
      </c>
      <c r="E6" s="9">
        <f>(B6+D6)*$D$1</f>
        <v>266.1304444444445</v>
      </c>
      <c r="F6" s="39">
        <v>275</v>
      </c>
      <c r="G6" s="39">
        <f>-E6+F6</f>
        <v>8.869555555555507</v>
      </c>
    </row>
    <row r="7" spans="1:7" ht="15">
      <c r="A7" s="9" t="s">
        <v>144</v>
      </c>
      <c r="B7" s="9">
        <v>31.16</v>
      </c>
      <c r="C7" s="9">
        <v>1</v>
      </c>
      <c r="D7" s="9">
        <f>C7/$C$9*$D$9</f>
        <v>2.3515579071134627</v>
      </c>
      <c r="E7" s="9">
        <f>(B7+D7)*$D$1</f>
        <v>1079.0721646090535</v>
      </c>
      <c r="F7" s="39">
        <v>1113</v>
      </c>
      <c r="G7" s="39">
        <f>-E7+F7</f>
        <v>33.927835390946484</v>
      </c>
    </row>
    <row r="8" spans="1:7" ht="15">
      <c r="A8" s="9" t="s">
        <v>207</v>
      </c>
      <c r="B8" s="9">
        <v>10.34</v>
      </c>
      <c r="C8" s="9">
        <v>0.001</v>
      </c>
      <c r="D8" s="9">
        <f>C8/$C$9*$D$9</f>
        <v>0.0023515579071134627</v>
      </c>
      <c r="E8" s="9">
        <f>(B8+D8)*$D$1</f>
        <v>333.0237201646091</v>
      </c>
      <c r="F8" s="39">
        <v>344</v>
      </c>
      <c r="G8" s="39">
        <f>-E8+F8</f>
        <v>10.976279835390926</v>
      </c>
    </row>
    <row r="9" spans="1:7" ht="15">
      <c r="A9" s="36"/>
      <c r="B9" s="36"/>
      <c r="C9" s="36">
        <f>SUM(C4:C8)</f>
        <v>1.701</v>
      </c>
      <c r="D9" s="36">
        <v>4</v>
      </c>
      <c r="E9" s="36">
        <f>(B9+C9+D9)*$D$1</f>
        <v>183.57220000000004</v>
      </c>
      <c r="F9" s="11"/>
      <c r="G9" s="11"/>
    </row>
    <row r="12" ht="15">
      <c r="A12" s="38" t="s">
        <v>261</v>
      </c>
    </row>
    <row r="13" ht="15">
      <c r="A13" s="38" t="s">
        <v>262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G7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41258</v>
      </c>
      <c r="C1" s="31" t="s">
        <v>252</v>
      </c>
      <c r="D1" s="32">
        <v>30.69</v>
      </c>
      <c r="E1" s="28" t="s">
        <v>253</v>
      </c>
    </row>
    <row r="2" ht="15">
      <c r="A2" s="46" t="s">
        <v>287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260</v>
      </c>
      <c r="B4" s="9">
        <v>4.16</v>
      </c>
      <c r="C4" s="9">
        <v>0.2</v>
      </c>
      <c r="D4" s="9">
        <f>C4/$C$7*$D$7</f>
        <v>0.5166051660516605</v>
      </c>
      <c r="E4" s="36"/>
      <c r="F4" s="47"/>
      <c r="G4" s="47"/>
    </row>
    <row r="5" spans="1:7" s="35" customFormat="1" ht="15">
      <c r="A5" s="9" t="s">
        <v>43</v>
      </c>
      <c r="B5" s="9">
        <v>22.92</v>
      </c>
      <c r="C5" s="9">
        <v>1.52</v>
      </c>
      <c r="D5" s="9">
        <f>C5/$C$7*$D$7</f>
        <v>3.9261992619926205</v>
      </c>
      <c r="E5" s="9">
        <f>(B5+D5)*$D$1</f>
        <v>823.9098553505537</v>
      </c>
      <c r="F5" s="39">
        <v>832</v>
      </c>
      <c r="G5" s="39">
        <f>-E5+F5</f>
        <v>8.090144649446302</v>
      </c>
    </row>
    <row r="6" spans="1:7" s="35" customFormat="1" ht="15">
      <c r="A6" s="9" t="s">
        <v>204</v>
      </c>
      <c r="B6" s="9">
        <v>59.66</v>
      </c>
      <c r="C6" s="9">
        <v>0.99</v>
      </c>
      <c r="D6" s="9">
        <f>C6/$C$7*$D$7</f>
        <v>2.5571955719557193</v>
      </c>
      <c r="E6" s="9">
        <f>(B6+D6)*$D$1</f>
        <v>1909.445732103321</v>
      </c>
      <c r="F6" s="39">
        <v>2197</v>
      </c>
      <c r="G6" s="39">
        <f>-E6+F6</f>
        <v>287.554267896679</v>
      </c>
    </row>
    <row r="7" spans="1:7" s="43" customFormat="1" ht="15">
      <c r="A7" s="41"/>
      <c r="B7" s="41"/>
      <c r="C7" s="41">
        <f>SUM(C4:C6)</f>
        <v>2.71</v>
      </c>
      <c r="D7" s="41">
        <v>7</v>
      </c>
      <c r="E7" s="41"/>
      <c r="F7" s="41"/>
      <c r="G7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A1:H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41258</v>
      </c>
      <c r="C1" s="31" t="s">
        <v>252</v>
      </c>
      <c r="D1" s="32">
        <v>30.69</v>
      </c>
      <c r="E1" s="28" t="s">
        <v>253</v>
      </c>
    </row>
    <row r="2" ht="15">
      <c r="A2" s="46" t="s">
        <v>287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260</v>
      </c>
      <c r="B4" s="9">
        <v>13.15</v>
      </c>
      <c r="C4" s="9">
        <v>0.43</v>
      </c>
      <c r="D4" s="9">
        <f>C4/$C$9*$D$9</f>
        <v>1.1944444444444446</v>
      </c>
      <c r="E4" s="36"/>
      <c r="F4" s="47"/>
      <c r="G4" s="47"/>
    </row>
    <row r="5" spans="1:7" s="35" customFormat="1" ht="15">
      <c r="A5" s="9" t="s">
        <v>12</v>
      </c>
      <c r="B5" s="9">
        <v>22.93</v>
      </c>
      <c r="C5" s="9">
        <v>0.24</v>
      </c>
      <c r="D5" s="9">
        <f>C5/$C$9*$D$9</f>
        <v>0.6666666666666667</v>
      </c>
      <c r="E5" s="9">
        <f>(B5+D5)*$D$1</f>
        <v>724.1817000000001</v>
      </c>
      <c r="F5" s="39">
        <v>731</v>
      </c>
      <c r="G5" s="39">
        <f>-E5+F5</f>
        <v>6.818299999999908</v>
      </c>
    </row>
    <row r="6" spans="1:7" s="35" customFormat="1" ht="15">
      <c r="A6" s="9" t="s">
        <v>204</v>
      </c>
      <c r="B6" s="9">
        <v>7.99</v>
      </c>
      <c r="C6" s="9">
        <v>0.24</v>
      </c>
      <c r="D6" s="9">
        <f>C6/$C$9*$D$9</f>
        <v>0.6666666666666667</v>
      </c>
      <c r="E6" s="9">
        <f>(B6+D6)*$D$1</f>
        <v>265.6731</v>
      </c>
      <c r="F6" s="39"/>
      <c r="G6" s="39">
        <f>-E6+F6</f>
        <v>-265.6731</v>
      </c>
    </row>
    <row r="7" spans="1:7" s="35" customFormat="1" ht="15">
      <c r="A7" s="9" t="s">
        <v>56</v>
      </c>
      <c r="B7" s="9">
        <v>9.19</v>
      </c>
      <c r="C7" s="9">
        <v>0.37</v>
      </c>
      <c r="D7" s="9">
        <f>C7/$C$9*$D$9</f>
        <v>1.027777777777778</v>
      </c>
      <c r="E7" s="9">
        <f>(B7+D7)*$D$1</f>
        <v>313.58360000000005</v>
      </c>
      <c r="F7" s="39">
        <v>316</v>
      </c>
      <c r="G7" s="39">
        <f>-E7+F7</f>
        <v>2.4163999999999533</v>
      </c>
    </row>
    <row r="8" spans="1:8" s="35" customFormat="1" ht="15">
      <c r="A8" s="9" t="s">
        <v>288</v>
      </c>
      <c r="B8" s="9">
        <v>29.74</v>
      </c>
      <c r="C8" s="40">
        <v>0.88</v>
      </c>
      <c r="D8" s="9">
        <f>C8/$C$9*$D$9</f>
        <v>2.4444444444444446</v>
      </c>
      <c r="E8" s="9">
        <f>(B8+D8)*$D$1</f>
        <v>987.7406000000001</v>
      </c>
      <c r="F8" s="39">
        <v>998</v>
      </c>
      <c r="G8" s="39">
        <f>-E8+F8</f>
        <v>10.259399999999914</v>
      </c>
      <c r="H8" s="42"/>
    </row>
    <row r="9" spans="1:7" s="43" customFormat="1" ht="15">
      <c r="A9" s="41"/>
      <c r="B9" s="41"/>
      <c r="C9" s="41">
        <f>SUM(C4:C8)</f>
        <v>2.1599999999999997</v>
      </c>
      <c r="D9" s="41">
        <v>6</v>
      </c>
      <c r="E9" s="41"/>
      <c r="F9" s="41"/>
      <c r="G9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0"/>
  </sheetPr>
  <dimension ref="A1:G5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41258</v>
      </c>
      <c r="C1" s="31" t="s">
        <v>252</v>
      </c>
      <c r="D1" s="32">
        <v>30.69</v>
      </c>
      <c r="E1" s="28" t="s">
        <v>253</v>
      </c>
    </row>
    <row r="2" ht="15">
      <c r="A2" s="46" t="s">
        <v>287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289</v>
      </c>
      <c r="B4" s="9">
        <v>64.22</v>
      </c>
      <c r="C4" s="9">
        <v>2.72</v>
      </c>
      <c r="D4" s="9">
        <f>C4/$C$5*$D$5</f>
        <v>7</v>
      </c>
      <c r="E4" s="9">
        <f>(B4+D4)*D1</f>
        <v>2185.7418000000002</v>
      </c>
      <c r="F4" s="39">
        <v>2208</v>
      </c>
      <c r="G4" s="39">
        <f>F4-E4</f>
        <v>22.25819999999976</v>
      </c>
    </row>
    <row r="5" spans="1:7" s="43" customFormat="1" ht="15">
      <c r="A5" s="41"/>
      <c r="B5" s="41"/>
      <c r="C5" s="41">
        <f>SUM(C4:C4)</f>
        <v>2.72</v>
      </c>
      <c r="D5" s="41">
        <v>7</v>
      </c>
      <c r="E5" s="41"/>
      <c r="F5" s="41"/>
      <c r="G5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1.2812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41263</v>
      </c>
      <c r="C1" s="31" t="s">
        <v>252</v>
      </c>
      <c r="D1" s="48">
        <v>30.72</v>
      </c>
      <c r="E1" s="28" t="s">
        <v>253</v>
      </c>
    </row>
    <row r="2" s="28" customFormat="1" ht="15">
      <c r="A2" s="46" t="s">
        <v>290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36</v>
      </c>
      <c r="B4" s="9">
        <v>43.56</v>
      </c>
      <c r="C4" s="9">
        <v>1.2</v>
      </c>
      <c r="D4" s="9">
        <f>C4/$C$7*$D$7</f>
        <v>3.088235294117647</v>
      </c>
      <c r="E4" s="9">
        <f>(B4+D4)*$D$1</f>
        <v>1433.033788235294</v>
      </c>
      <c r="F4" s="39">
        <v>1461</v>
      </c>
      <c r="G4" s="39">
        <f>-E4+F4</f>
        <v>27.96621176470603</v>
      </c>
    </row>
    <row r="5" spans="1:7" s="35" customFormat="1" ht="15">
      <c r="A5" s="9" t="s">
        <v>217</v>
      </c>
      <c r="B5" s="9">
        <v>12.06</v>
      </c>
      <c r="C5" s="9">
        <v>0.76</v>
      </c>
      <c r="D5" s="9">
        <f>C5/$C$7*$D$7</f>
        <v>1.9558823529411766</v>
      </c>
      <c r="E5" s="9">
        <f>(B5+D5)*$D$1</f>
        <v>430.56790588235293</v>
      </c>
      <c r="F5" s="39">
        <v>431</v>
      </c>
      <c r="G5" s="39">
        <f>-E5+F5</f>
        <v>0.4320941176470683</v>
      </c>
    </row>
    <row r="6" spans="1:7" s="35" customFormat="1" ht="15">
      <c r="A6" s="9" t="s">
        <v>219</v>
      </c>
      <c r="B6" s="9">
        <v>12.14</v>
      </c>
      <c r="C6" s="9">
        <v>0.76</v>
      </c>
      <c r="D6" s="9">
        <f>C6/$C$7*$D$7</f>
        <v>1.9558823529411766</v>
      </c>
      <c r="E6" s="9">
        <f>(B6+D6)*$D$1</f>
        <v>433.025505882353</v>
      </c>
      <c r="F6" s="39">
        <v>433</v>
      </c>
      <c r="G6" s="39">
        <f>-E6+F6</f>
        <v>-0.025505882353002107</v>
      </c>
    </row>
    <row r="7" spans="1:7" s="43" customFormat="1" ht="15">
      <c r="A7" s="41"/>
      <c r="B7" s="41"/>
      <c r="C7" s="41">
        <f>SUM(C4:C6)</f>
        <v>2.7199999999999998</v>
      </c>
      <c r="D7" s="41">
        <v>7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A12" sqref="A12:A1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41263</v>
      </c>
      <c r="C1" s="31" t="s">
        <v>252</v>
      </c>
      <c r="D1" s="48">
        <v>30.72</v>
      </c>
      <c r="E1" s="28" t="s">
        <v>253</v>
      </c>
    </row>
    <row r="2" s="28" customFormat="1" ht="15">
      <c r="A2" s="46" t="s">
        <v>290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12</v>
      </c>
      <c r="B4" s="9">
        <v>5.57</v>
      </c>
      <c r="C4" s="9">
        <v>0.19</v>
      </c>
      <c r="D4" s="9">
        <f>C4/$C$9*$D$9</f>
        <v>0.49626865671641807</v>
      </c>
      <c r="E4" s="9">
        <f>(B4+D4)*$D$1</f>
        <v>186.35577313432836</v>
      </c>
      <c r="F4" s="39">
        <v>188</v>
      </c>
      <c r="G4" s="39">
        <f>-E4+F4</f>
        <v>1.6442268656716408</v>
      </c>
    </row>
    <row r="5" spans="1:7" s="35" customFormat="1" ht="15">
      <c r="A5" s="9" t="s">
        <v>291</v>
      </c>
      <c r="B5" s="9">
        <v>16.46</v>
      </c>
      <c r="C5" s="9">
        <v>0.56</v>
      </c>
      <c r="D5" s="9">
        <f>C5/$C$9*$D$9</f>
        <v>1.4626865671641796</v>
      </c>
      <c r="E5" s="9">
        <f>(B5+D5)*$D$1</f>
        <v>550.5849313432836</v>
      </c>
      <c r="F5" s="39">
        <v>557</v>
      </c>
      <c r="G5" s="39">
        <f>-E5+F5</f>
        <v>6.4150686567163575</v>
      </c>
    </row>
    <row r="6" spans="1:7" s="35" customFormat="1" ht="15">
      <c r="A6" s="9" t="s">
        <v>268</v>
      </c>
      <c r="B6" s="9">
        <v>24.89</v>
      </c>
      <c r="C6" s="9">
        <v>1.39</v>
      </c>
      <c r="D6" s="9">
        <f>C6/$C$9*$D$9</f>
        <v>3.6305970149253737</v>
      </c>
      <c r="E6" s="9">
        <f>(B6+D6)*$D$1</f>
        <v>876.1527402985075</v>
      </c>
      <c r="F6" s="39">
        <v>890</v>
      </c>
      <c r="G6" s="39">
        <f>-E6+F6</f>
        <v>13.847259701492476</v>
      </c>
    </row>
    <row r="7" spans="1:7" s="35" customFormat="1" ht="15">
      <c r="A7" s="9" t="s">
        <v>43</v>
      </c>
      <c r="B7" s="9">
        <v>13.77</v>
      </c>
      <c r="C7" s="9">
        <v>0.51</v>
      </c>
      <c r="D7" s="9">
        <f>C7/$C$9*$D$9</f>
        <v>1.3320895522388063</v>
      </c>
      <c r="E7" s="9">
        <f>(B7+D7)*$D$1</f>
        <v>463.9361910447761</v>
      </c>
      <c r="F7" s="39">
        <v>461</v>
      </c>
      <c r="G7" s="39">
        <f>-E7+F7</f>
        <v>-2.9361910447760806</v>
      </c>
    </row>
    <row r="8" spans="1:8" s="35" customFormat="1" ht="15">
      <c r="A8" s="9" t="s">
        <v>260</v>
      </c>
      <c r="B8" s="9">
        <v>12.99</v>
      </c>
      <c r="C8" s="40">
        <v>0.03</v>
      </c>
      <c r="D8" s="9">
        <f>C8/$C$9*$D$9</f>
        <v>0.0783582089552239</v>
      </c>
      <c r="E8" s="9"/>
      <c r="F8" s="39"/>
      <c r="G8" s="39"/>
      <c r="H8" s="42"/>
    </row>
    <row r="9" spans="1:7" s="43" customFormat="1" ht="15">
      <c r="A9" s="41"/>
      <c r="B9" s="41"/>
      <c r="C9" s="41">
        <f>SUM(C4:C8)</f>
        <v>2.6799999999999993</v>
      </c>
      <c r="D9" s="41">
        <v>7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E4" sqref="E4:E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41280</v>
      </c>
      <c r="C1" s="31" t="s">
        <v>252</v>
      </c>
      <c r="D1" s="48">
        <f>30.421</f>
        <v>30.421</v>
      </c>
      <c r="E1" s="28" t="s">
        <v>253</v>
      </c>
    </row>
    <row r="2" s="28" customFormat="1" ht="15">
      <c r="A2" s="46" t="s">
        <v>292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291</v>
      </c>
      <c r="B4" s="9">
        <v>47.04</v>
      </c>
      <c r="C4" s="9">
        <v>1.52</v>
      </c>
      <c r="D4" s="9">
        <f>C4/$C$6*$D$6</f>
        <v>3.9701492537313436</v>
      </c>
      <c r="E4" s="9">
        <f>(B4+D4)*$D$1</f>
        <v>1551.7797504477612</v>
      </c>
      <c r="F4" s="39">
        <v>1565</v>
      </c>
      <c r="G4" s="39">
        <f>-E4+F4</f>
        <v>13.220249552238784</v>
      </c>
    </row>
    <row r="5" spans="1:7" s="35" customFormat="1" ht="15">
      <c r="A5" s="9" t="s">
        <v>70</v>
      </c>
      <c r="B5" s="9">
        <v>40.56</v>
      </c>
      <c r="C5" s="9">
        <v>1.16</v>
      </c>
      <c r="D5" s="9">
        <f>C5/$C$6*$D$6</f>
        <v>3.029850746268657</v>
      </c>
      <c r="E5" s="9">
        <f>(B5+D5)*$D$1</f>
        <v>1326.0468495522389</v>
      </c>
      <c r="F5" s="39">
        <v>2587</v>
      </c>
      <c r="G5" s="39">
        <f>-E5+F5</f>
        <v>1260.9531504477611</v>
      </c>
    </row>
    <row r="6" spans="1:7" s="43" customFormat="1" ht="15">
      <c r="A6" s="41"/>
      <c r="B6" s="41"/>
      <c r="C6" s="41">
        <f>SUM(C4:C5)</f>
        <v>2.6799999999999997</v>
      </c>
      <c r="D6" s="41">
        <v>7</v>
      </c>
      <c r="E6" s="41"/>
      <c r="F6" s="41"/>
      <c r="G6" s="41"/>
    </row>
    <row r="9" ht="31.5">
      <c r="A9" s="49"/>
    </row>
    <row r="10" ht="31.5">
      <c r="A10" s="49"/>
    </row>
    <row r="11" ht="15">
      <c r="A11" s="38"/>
    </row>
    <row r="12" ht="15">
      <c r="A12" s="38"/>
    </row>
    <row r="13" ht="15">
      <c r="A13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0"/>
  </sheetPr>
  <dimension ref="A1:H17"/>
  <sheetViews>
    <sheetView zoomScalePageLayoutView="0" workbookViewId="0" topLeftCell="A1">
      <selection activeCell="E4" sqref="E4:E9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41280</v>
      </c>
      <c r="C1" s="31" t="s">
        <v>252</v>
      </c>
      <c r="D1" s="48">
        <v>30.421</v>
      </c>
      <c r="E1" s="28" t="s">
        <v>253</v>
      </c>
    </row>
    <row r="2" s="28" customFormat="1" ht="15">
      <c r="A2" s="46" t="s">
        <v>292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70</v>
      </c>
      <c r="B4" s="9">
        <v>36.71</v>
      </c>
      <c r="C4" s="9">
        <v>1.84</v>
      </c>
      <c r="D4" s="9">
        <f aca="true" t="shared" si="0" ref="D4:D9">C4/$C$10*$D$10</f>
        <v>4.788104089219331</v>
      </c>
      <c r="E4" s="9">
        <f aca="true" t="shared" si="1" ref="E4:E9">(B4+D4)*$D$1</f>
        <v>1262.4138244981414</v>
      </c>
      <c r="F4" s="39"/>
      <c r="G4" s="39">
        <f aca="true" t="shared" si="2" ref="G4:G9">-E4+F4</f>
        <v>-1262.4138244981414</v>
      </c>
    </row>
    <row r="5" spans="1:7" s="35" customFormat="1" ht="15">
      <c r="A5" s="9" t="s">
        <v>288</v>
      </c>
      <c r="B5" s="40">
        <v>18.72</v>
      </c>
      <c r="C5" s="40">
        <v>0.24</v>
      </c>
      <c r="D5" s="9">
        <f t="shared" si="0"/>
        <v>0.62453531598513</v>
      </c>
      <c r="E5" s="9">
        <f t="shared" si="1"/>
        <v>588.4801088475837</v>
      </c>
      <c r="F5" s="39">
        <v>600</v>
      </c>
      <c r="G5" s="39">
        <f t="shared" si="2"/>
        <v>11.519891152416335</v>
      </c>
    </row>
    <row r="6" spans="1:7" s="35" customFormat="1" ht="15">
      <c r="A6" s="9" t="s">
        <v>233</v>
      </c>
      <c r="B6" s="40">
        <v>3.65</v>
      </c>
      <c r="C6" s="40">
        <v>0.16</v>
      </c>
      <c r="D6" s="9">
        <f t="shared" si="0"/>
        <v>0.41635687732342</v>
      </c>
      <c r="E6" s="9">
        <f t="shared" si="1"/>
        <v>123.70264256505575</v>
      </c>
      <c r="F6" s="39">
        <v>116</v>
      </c>
      <c r="G6" s="39">
        <f t="shared" si="2"/>
        <v>-7.702642565055754</v>
      </c>
    </row>
    <row r="7" spans="1:8" s="35" customFormat="1" ht="75">
      <c r="A7" s="9" t="s">
        <v>121</v>
      </c>
      <c r="B7" s="40">
        <v>6.87</v>
      </c>
      <c r="C7" s="40">
        <v>0.1</v>
      </c>
      <c r="D7" s="9">
        <f t="shared" si="0"/>
        <v>0.2602230483271375</v>
      </c>
      <c r="E7" s="9">
        <f t="shared" si="1"/>
        <v>216.90851535315986</v>
      </c>
      <c r="F7" s="39">
        <f>219-2</f>
        <v>217</v>
      </c>
      <c r="G7" s="39">
        <f t="shared" si="2"/>
        <v>0.09148464684014357</v>
      </c>
      <c r="H7" s="35" t="s">
        <v>293</v>
      </c>
    </row>
    <row r="8" spans="1:7" s="35" customFormat="1" ht="15">
      <c r="A8" s="9" t="s">
        <v>36</v>
      </c>
      <c r="B8" s="11">
        <v>13.97</v>
      </c>
      <c r="C8" s="40">
        <v>0.21</v>
      </c>
      <c r="D8" s="9">
        <f t="shared" si="0"/>
        <v>0.5464684014869887</v>
      </c>
      <c r="E8" s="9">
        <f t="shared" si="1"/>
        <v>441.6054852416357</v>
      </c>
      <c r="F8" s="39">
        <v>429</v>
      </c>
      <c r="G8" s="39">
        <f t="shared" si="2"/>
        <v>-12.605485241635677</v>
      </c>
    </row>
    <row r="9" spans="1:8" s="35" customFormat="1" ht="15">
      <c r="A9" s="9" t="s">
        <v>268</v>
      </c>
      <c r="B9" s="11">
        <v>10.79</v>
      </c>
      <c r="C9" s="50">
        <v>0.14</v>
      </c>
      <c r="D9" s="9">
        <f t="shared" si="0"/>
        <v>0.3643122676579925</v>
      </c>
      <c r="E9" s="9">
        <f t="shared" si="1"/>
        <v>339.3253334944237</v>
      </c>
      <c r="F9" s="39">
        <v>327</v>
      </c>
      <c r="G9" s="39">
        <f t="shared" si="2"/>
        <v>-12.325333494423717</v>
      </c>
      <c r="H9" s="42"/>
    </row>
    <row r="10" spans="1:7" s="43" customFormat="1" ht="15">
      <c r="A10" s="41"/>
      <c r="B10" s="41"/>
      <c r="C10" s="41">
        <f>SUM(C4:C9)</f>
        <v>2.6900000000000004</v>
      </c>
      <c r="D10" s="41">
        <v>7</v>
      </c>
      <c r="E10" s="41"/>
      <c r="F10" s="41"/>
      <c r="G10" s="41"/>
    </row>
    <row r="13" ht="31.5">
      <c r="A13" s="49"/>
    </row>
    <row r="14" ht="31.5">
      <c r="A14" s="49"/>
    </row>
    <row r="15" ht="15">
      <c r="A15" s="38"/>
    </row>
    <row r="16" ht="15">
      <c r="A16" s="38"/>
    </row>
    <row r="17" ht="15">
      <c r="A17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B4" sqref="B4:B7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41280</v>
      </c>
      <c r="C1" s="31" t="s">
        <v>252</v>
      </c>
      <c r="D1" s="48">
        <v>30.421</v>
      </c>
      <c r="E1" s="28" t="s">
        <v>253</v>
      </c>
    </row>
    <row r="2" s="28" customFormat="1" ht="15">
      <c r="A2" s="46" t="s">
        <v>292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73</v>
      </c>
      <c r="B4" s="9">
        <v>31.63</v>
      </c>
      <c r="C4" s="9">
        <v>1.52</v>
      </c>
      <c r="D4" s="9">
        <f>C4/$C$8*$D$8</f>
        <v>3.955390334572491</v>
      </c>
      <c r="E4" s="9">
        <f>(B4+D4)*$D$1</f>
        <v>1082.5431593680296</v>
      </c>
      <c r="F4" s="39">
        <f>1056+27</f>
        <v>1083</v>
      </c>
      <c r="G4" s="39">
        <f>-E4+F4</f>
        <v>0.45684063197040814</v>
      </c>
    </row>
    <row r="5" spans="1:7" s="35" customFormat="1" ht="15">
      <c r="A5" s="9" t="s">
        <v>198</v>
      </c>
      <c r="B5" s="40">
        <v>26.07</v>
      </c>
      <c r="C5" s="40">
        <v>0.54</v>
      </c>
      <c r="D5" s="9">
        <f>C5/$C$8*$D$8</f>
        <v>1.4052044609665428</v>
      </c>
      <c r="E5" s="9">
        <f>(B5+D5)*$D$1</f>
        <v>835.8231949070632</v>
      </c>
      <c r="F5" s="39">
        <v>843</v>
      </c>
      <c r="G5" s="39">
        <f>-E5+F5</f>
        <v>7.176805092936775</v>
      </c>
    </row>
    <row r="6" spans="1:7" s="35" customFormat="1" ht="15">
      <c r="A6" s="9" t="s">
        <v>139</v>
      </c>
      <c r="B6" s="40">
        <v>18.9</v>
      </c>
      <c r="C6" s="40">
        <v>0.23</v>
      </c>
      <c r="D6" s="9">
        <f>C6/$C$8*$D$8</f>
        <v>0.5985130111524164</v>
      </c>
      <c r="E6" s="9">
        <f>(B6+D6)*$D$1</f>
        <v>593.1642643122676</v>
      </c>
      <c r="F6" s="39">
        <v>598</v>
      </c>
      <c r="G6" s="39">
        <f>-E6+F6</f>
        <v>4.835735687732381</v>
      </c>
    </row>
    <row r="7" spans="1:7" s="35" customFormat="1" ht="15">
      <c r="A7" s="9" t="s">
        <v>260</v>
      </c>
      <c r="B7" s="40">
        <v>4.68</v>
      </c>
      <c r="C7" s="40">
        <v>0.4</v>
      </c>
      <c r="D7" s="9">
        <f>C7/$C$8*$D$8</f>
        <v>1.0408921933085502</v>
      </c>
      <c r="E7" s="51"/>
      <c r="F7" s="52"/>
      <c r="G7" s="52"/>
    </row>
    <row r="8" spans="1:7" s="43" customFormat="1" ht="15">
      <c r="A8" s="41"/>
      <c r="B8" s="41"/>
      <c r="C8" s="41">
        <f>SUM(C4:C7)</f>
        <v>2.69</v>
      </c>
      <c r="D8" s="41">
        <v>7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E4" sqref="E4:E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41285</v>
      </c>
      <c r="C1" s="31" t="s">
        <v>252</v>
      </c>
      <c r="D1" s="48">
        <v>30.254</v>
      </c>
      <c r="E1" s="28" t="s">
        <v>253</v>
      </c>
    </row>
    <row r="2" s="28" customFormat="1" ht="15">
      <c r="A2" s="46" t="s">
        <v>294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129</v>
      </c>
      <c r="B4" s="9">
        <v>10.37</v>
      </c>
      <c r="C4" s="9">
        <v>0.74</v>
      </c>
      <c r="D4" s="9">
        <f>C4/$C$7*$D$7</f>
        <v>1.9733333333333334</v>
      </c>
      <c r="E4" s="9">
        <f>(B4+D4)*$D$1</f>
        <v>373.43520666666666</v>
      </c>
      <c r="F4" s="39">
        <v>380</v>
      </c>
      <c r="G4" s="39">
        <f>-E4+F4</f>
        <v>6.564793333333341</v>
      </c>
    </row>
    <row r="5" spans="1:7" s="35" customFormat="1" ht="15">
      <c r="A5" s="9" t="s">
        <v>291</v>
      </c>
      <c r="B5" s="40">
        <v>3.73</v>
      </c>
      <c r="C5" s="40">
        <v>0.19</v>
      </c>
      <c r="D5" s="9">
        <f>C5/$C$7*$D$7</f>
        <v>0.5066666666666667</v>
      </c>
      <c r="E5" s="9">
        <f>(B5+D5)*$D$1</f>
        <v>128.17611333333332</v>
      </c>
      <c r="F5" s="39">
        <v>129</v>
      </c>
      <c r="G5" s="39">
        <f>-E5+F5</f>
        <v>0.8238866666666809</v>
      </c>
    </row>
    <row r="6" spans="1:7" s="35" customFormat="1" ht="15">
      <c r="A6" s="9" t="s">
        <v>260</v>
      </c>
      <c r="B6" s="40">
        <v>61.31</v>
      </c>
      <c r="C6" s="40">
        <v>1.32</v>
      </c>
      <c r="D6" s="9">
        <f>C6/$C$7*$D$7</f>
        <v>3.52</v>
      </c>
      <c r="E6" s="51"/>
      <c r="F6" s="52"/>
      <c r="G6" s="52"/>
    </row>
    <row r="7" spans="1:7" s="43" customFormat="1" ht="15">
      <c r="A7" s="41"/>
      <c r="B7" s="41"/>
      <c r="C7" s="41">
        <f>SUM(C4:C6)</f>
        <v>2.25</v>
      </c>
      <c r="D7" s="41">
        <v>6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41285</v>
      </c>
      <c r="C1" s="31" t="s">
        <v>252</v>
      </c>
      <c r="D1" s="48">
        <v>30.254</v>
      </c>
      <c r="E1" s="28" t="s">
        <v>253</v>
      </c>
    </row>
    <row r="2" s="28" customFormat="1" ht="15">
      <c r="A2" s="46" t="s">
        <v>294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131</v>
      </c>
      <c r="B4" s="9">
        <v>55.35</v>
      </c>
      <c r="C4" s="9">
        <v>2.59</v>
      </c>
      <c r="D4" s="9">
        <f>C4/$C$6*$D$6</f>
        <v>6.714814814814815</v>
      </c>
      <c r="E4" s="9">
        <f>(B4+D4)*$D$1</f>
        <v>1877.7089074074077</v>
      </c>
      <c r="F4" s="39">
        <v>1850</v>
      </c>
      <c r="G4" s="39">
        <f>-E4+F4</f>
        <v>-27.70890740740765</v>
      </c>
    </row>
    <row r="5" spans="1:7" s="35" customFormat="1" ht="15">
      <c r="A5" s="9" t="s">
        <v>260</v>
      </c>
      <c r="B5" s="40">
        <v>11.84</v>
      </c>
      <c r="C5" s="40">
        <v>0.11</v>
      </c>
      <c r="D5" s="9">
        <f>C5/$C$6*$D$6</f>
        <v>0.2851851851851852</v>
      </c>
      <c r="E5" s="51"/>
      <c r="F5" s="52"/>
      <c r="G5" s="52"/>
    </row>
    <row r="6" spans="1:7" s="43" customFormat="1" ht="15">
      <c r="A6" s="41"/>
      <c r="B6" s="41"/>
      <c r="C6" s="41">
        <f>SUM(C4:C5)</f>
        <v>2.6999999999999997</v>
      </c>
      <c r="D6" s="41">
        <v>7</v>
      </c>
      <c r="E6" s="41"/>
      <c r="F6" s="41"/>
      <c r="G6" s="41"/>
    </row>
    <row r="9" ht="31.5">
      <c r="A9" s="49"/>
    </row>
    <row r="10" ht="31.5">
      <c r="A10" s="49"/>
    </row>
    <row r="11" ht="15">
      <c r="A11" s="38"/>
    </row>
    <row r="12" ht="15">
      <c r="A12" s="38"/>
    </row>
    <row r="13" ht="15">
      <c r="A13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41154</v>
      </c>
      <c r="C1" s="31" t="s">
        <v>252</v>
      </c>
      <c r="D1" s="32">
        <v>32.2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73</v>
      </c>
      <c r="B4" s="9">
        <v>32.96</v>
      </c>
      <c r="C4" s="9">
        <v>0.79</v>
      </c>
      <c r="D4" s="9">
        <f>C4/$C$9*$D$9</f>
        <v>1.7752808988764048</v>
      </c>
      <c r="E4" s="9">
        <f>(B4+D4)*$D$1</f>
        <v>1118.4760449438204</v>
      </c>
      <c r="F4" s="39">
        <f>1337+142</f>
        <v>1479</v>
      </c>
      <c r="G4" s="39">
        <f>-E4+F4</f>
        <v>360.5239550561796</v>
      </c>
    </row>
    <row r="5" spans="1:7" s="35" customFormat="1" ht="15">
      <c r="A5" s="9" t="s">
        <v>59</v>
      </c>
      <c r="B5" s="9">
        <v>6.87</v>
      </c>
      <c r="C5" s="9">
        <v>0.29</v>
      </c>
      <c r="D5" s="9">
        <f>C5/$C$9*$D$9</f>
        <v>0.651685393258427</v>
      </c>
      <c r="E5" s="9">
        <f>(B5+D5)*$D$1</f>
        <v>242.19826966292138</v>
      </c>
      <c r="F5" s="39">
        <v>250</v>
      </c>
      <c r="G5" s="39">
        <f>-E5+F5</f>
        <v>7.801730337078624</v>
      </c>
    </row>
    <row r="6" spans="1:7" s="35" customFormat="1" ht="15">
      <c r="A6" s="9" t="s">
        <v>87</v>
      </c>
      <c r="B6" s="9">
        <v>11.42</v>
      </c>
      <c r="C6" s="9">
        <v>0.16</v>
      </c>
      <c r="D6" s="9">
        <f>C6/$C$9*$D$9</f>
        <v>0.35955056179775285</v>
      </c>
      <c r="E6" s="9">
        <f>(B6+D6)*$D$1</f>
        <v>379.3015280898877</v>
      </c>
      <c r="F6" s="39">
        <v>391</v>
      </c>
      <c r="G6" s="39">
        <f>-E6+F6</f>
        <v>11.69847191011229</v>
      </c>
    </row>
    <row r="7" spans="1:7" s="35" customFormat="1" ht="15">
      <c r="A7" s="9" t="s">
        <v>152</v>
      </c>
      <c r="B7" s="9">
        <v>2.3</v>
      </c>
      <c r="C7" s="9">
        <v>0.14</v>
      </c>
      <c r="D7" s="9">
        <f>C7/$C$9*$D$9</f>
        <v>0.31460674157303375</v>
      </c>
      <c r="E7" s="9">
        <f>(B7+D7)*$D$1</f>
        <v>84.19033707865168</v>
      </c>
      <c r="F7" s="39">
        <v>87</v>
      </c>
      <c r="G7" s="39">
        <f>-E7+F7</f>
        <v>2.8096629213483197</v>
      </c>
    </row>
    <row r="8" spans="1:7" ht="15">
      <c r="A8" s="9" t="s">
        <v>260</v>
      </c>
      <c r="B8" s="9">
        <v>19</v>
      </c>
      <c r="C8" s="9">
        <v>0.4</v>
      </c>
      <c r="D8" s="9">
        <f>C8/$C$9*$D$9</f>
        <v>0.8988764044943822</v>
      </c>
      <c r="E8" s="9">
        <f>(B8+D8)*$D$1</f>
        <v>640.7438202247191</v>
      </c>
      <c r="F8" s="39"/>
      <c r="G8" s="39"/>
    </row>
    <row r="9" spans="1:7" ht="15">
      <c r="A9" s="36"/>
      <c r="B9" s="36"/>
      <c r="C9" s="36">
        <f>SUM(C4:C8)</f>
        <v>1.7799999999999998</v>
      </c>
      <c r="D9" s="36">
        <v>4</v>
      </c>
      <c r="E9" s="36"/>
      <c r="F9" s="11"/>
      <c r="G9" s="11"/>
    </row>
    <row r="12" ht="15">
      <c r="A12" s="38" t="s">
        <v>261</v>
      </c>
    </row>
    <row r="13" ht="15">
      <c r="A13" s="38" t="s">
        <v>262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E4" sqref="E4:E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41285</v>
      </c>
      <c r="C1" s="31" t="s">
        <v>252</v>
      </c>
      <c r="D1" s="48">
        <v>30.254</v>
      </c>
      <c r="E1" s="28" t="s">
        <v>253</v>
      </c>
    </row>
    <row r="2" s="28" customFormat="1" ht="15">
      <c r="A2" s="46" t="s">
        <v>294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84</v>
      </c>
      <c r="B4" s="9">
        <v>17.74</v>
      </c>
      <c r="C4" s="9">
        <v>1.83</v>
      </c>
      <c r="D4" s="9">
        <f>C4/$C$7*$D$7</f>
        <v>4.762081784386618</v>
      </c>
      <c r="E4" s="9">
        <f>(B4+D4)*$D$1</f>
        <v>680.7779823048328</v>
      </c>
      <c r="F4" s="39">
        <f>600+64</f>
        <v>664</v>
      </c>
      <c r="G4" s="39">
        <f>-E4+F4</f>
        <v>-16.77798230483279</v>
      </c>
    </row>
    <row r="5" spans="1:7" s="35" customFormat="1" ht="15">
      <c r="A5" s="9" t="s">
        <v>103</v>
      </c>
      <c r="B5" s="40">
        <v>41.7</v>
      </c>
      <c r="C5" s="40">
        <v>0.56</v>
      </c>
      <c r="D5" s="9">
        <f>C5/$C$7*$D$7</f>
        <v>1.4572490706319705</v>
      </c>
      <c r="E5" s="9">
        <f>(B5+D5)*$D$1</f>
        <v>1305.6794133828998</v>
      </c>
      <c r="F5" s="39">
        <v>1310</v>
      </c>
      <c r="G5" s="39">
        <f>-E5+F5</f>
        <v>4.320586617100162</v>
      </c>
    </row>
    <row r="6" spans="1:7" s="35" customFormat="1" ht="15">
      <c r="A6" s="9" t="s">
        <v>260</v>
      </c>
      <c r="B6" s="40">
        <v>17.61</v>
      </c>
      <c r="C6" s="40">
        <v>0.3</v>
      </c>
      <c r="D6" s="9">
        <f>C6/$C$7*$D$7</f>
        <v>0.7806691449814126</v>
      </c>
      <c r="E6" s="51"/>
      <c r="F6" s="52"/>
      <c r="G6" s="52"/>
    </row>
    <row r="7" spans="1:7" s="43" customFormat="1" ht="15">
      <c r="A7" s="41"/>
      <c r="B7" s="41"/>
      <c r="C7" s="41">
        <f>SUM(C4:C6)</f>
        <v>2.69</v>
      </c>
      <c r="D7" s="41">
        <v>7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41291</v>
      </c>
      <c r="C1" s="31" t="s">
        <v>252</v>
      </c>
      <c r="D1" s="48">
        <v>30.21</v>
      </c>
      <c r="E1" s="28" t="s">
        <v>253</v>
      </c>
    </row>
    <row r="2" s="28" customFormat="1" ht="15">
      <c r="A2" s="46" t="s">
        <v>295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8" s="35" customFormat="1" ht="45">
      <c r="A4" s="9" t="s">
        <v>47</v>
      </c>
      <c r="B4" s="9">
        <v>24.73</v>
      </c>
      <c r="C4" s="9">
        <v>0.63</v>
      </c>
      <c r="D4" s="9">
        <f>C4/$C$9*$D$9</f>
        <v>1.6273062730627308</v>
      </c>
      <c r="E4" s="9">
        <f>(B4+D4)*$D$1</f>
        <v>796.2542225092252</v>
      </c>
      <c r="F4" s="39"/>
      <c r="G4" s="39">
        <f>-E4+F4-30</f>
        <v>-826.2542225092252</v>
      </c>
      <c r="H4" s="35" t="s">
        <v>296</v>
      </c>
    </row>
    <row r="5" spans="1:7" s="35" customFormat="1" ht="15">
      <c r="A5" s="9" t="s">
        <v>297</v>
      </c>
      <c r="B5" s="9">
        <v>11.87</v>
      </c>
      <c r="C5" s="9">
        <v>0.11</v>
      </c>
      <c r="D5" s="9">
        <f>C5/$C$9*$D$9</f>
        <v>0.28413284132841327</v>
      </c>
      <c r="E5" s="9">
        <f>(B5+D5)*$D$1</f>
        <v>367.17635313653136</v>
      </c>
      <c r="F5" s="39">
        <v>372</v>
      </c>
      <c r="G5" s="39">
        <f>-E5+F5</f>
        <v>4.823646863468639</v>
      </c>
    </row>
    <row r="6" spans="1:7" s="35" customFormat="1" ht="15">
      <c r="A6" s="9" t="s">
        <v>65</v>
      </c>
      <c r="B6" s="9">
        <v>19.42</v>
      </c>
      <c r="C6" s="9">
        <v>1.04</v>
      </c>
      <c r="D6" s="9">
        <f>C6/$C$9*$D$9</f>
        <v>2.6863468634686347</v>
      </c>
      <c r="E6" s="9">
        <f>(B6+D6)*$D$1</f>
        <v>667.8327387453876</v>
      </c>
      <c r="F6" s="39">
        <v>677</v>
      </c>
      <c r="G6" s="39">
        <f>-E6+F6</f>
        <v>9.167261254612413</v>
      </c>
    </row>
    <row r="7" spans="1:7" s="35" customFormat="1" ht="15">
      <c r="A7" s="9" t="s">
        <v>277</v>
      </c>
      <c r="B7" s="40">
        <v>4.95</v>
      </c>
      <c r="C7" s="40">
        <v>0.21</v>
      </c>
      <c r="D7" s="9">
        <f>C7/$C$9*$D$9</f>
        <v>0.5424354243542435</v>
      </c>
      <c r="E7" s="9">
        <f>(B7+D7)*$D$1</f>
        <v>165.9264741697417</v>
      </c>
      <c r="F7" s="39"/>
      <c r="G7" s="39">
        <f>-E7+F7</f>
        <v>-165.9264741697417</v>
      </c>
    </row>
    <row r="8" spans="1:7" s="35" customFormat="1" ht="15">
      <c r="A8" s="9" t="s">
        <v>260</v>
      </c>
      <c r="B8" s="40">
        <v>20.34</v>
      </c>
      <c r="C8" s="40">
        <v>0.72</v>
      </c>
      <c r="D8" s="9">
        <f>C8/$C$9*$D$9</f>
        <v>1.859778597785978</v>
      </c>
      <c r="E8" s="51"/>
      <c r="F8" s="52"/>
      <c r="G8" s="52"/>
    </row>
    <row r="9" spans="1:7" s="43" customFormat="1" ht="15">
      <c r="A9" s="41"/>
      <c r="B9" s="41"/>
      <c r="C9" s="41">
        <f>SUM(C4:C8)</f>
        <v>2.71</v>
      </c>
      <c r="D9" s="41">
        <v>7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41291</v>
      </c>
      <c r="C1" s="31" t="s">
        <v>252</v>
      </c>
      <c r="D1" s="48">
        <v>30.21</v>
      </c>
      <c r="E1" s="28" t="s">
        <v>253</v>
      </c>
    </row>
    <row r="2" s="28" customFormat="1" ht="15">
      <c r="A2" s="46" t="s">
        <v>295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8" s="35" customFormat="1" ht="60">
      <c r="A4" s="9" t="s">
        <v>47</v>
      </c>
      <c r="B4" s="9">
        <v>55.12</v>
      </c>
      <c r="C4" s="9">
        <v>0.94</v>
      </c>
      <c r="D4" s="9">
        <f>C4/$C$7*$D$7</f>
        <v>2.483018867924528</v>
      </c>
      <c r="E4" s="9">
        <f>(B4+D4)*$D$1</f>
        <v>1740.1872</v>
      </c>
      <c r="F4" s="39">
        <f>2573</f>
        <v>2573</v>
      </c>
      <c r="G4" s="39">
        <f>-E4+F4-7</f>
        <v>825.8127999999999</v>
      </c>
      <c r="H4" s="35" t="s">
        <v>298</v>
      </c>
    </row>
    <row r="5" spans="1:7" s="35" customFormat="1" ht="15">
      <c r="A5" s="9" t="s">
        <v>150</v>
      </c>
      <c r="B5" s="9">
        <v>5.99</v>
      </c>
      <c r="C5" s="9">
        <v>0.67</v>
      </c>
      <c r="D5" s="9">
        <f>C5/$C$7*$D$7</f>
        <v>1.769811320754717</v>
      </c>
      <c r="E5" s="9">
        <f>(B5+D5)*$D$1</f>
        <v>234.4239</v>
      </c>
      <c r="F5" s="39">
        <v>238</v>
      </c>
      <c r="G5" s="39">
        <f>-E5+F5</f>
        <v>3.5760999999999967</v>
      </c>
    </row>
    <row r="6" spans="1:7" s="35" customFormat="1" ht="15">
      <c r="A6" s="9" t="s">
        <v>260</v>
      </c>
      <c r="B6" s="40">
        <v>25.44</v>
      </c>
      <c r="C6" s="40">
        <v>1.04</v>
      </c>
      <c r="D6" s="9">
        <f>C6/$C$7*$D$7</f>
        <v>2.747169811320755</v>
      </c>
      <c r="E6" s="51">
        <f>(B6+D6)*$D$1</f>
        <v>851.5344000000001</v>
      </c>
      <c r="F6" s="52">
        <v>852</v>
      </c>
      <c r="G6" s="52">
        <f>-E6+F6</f>
        <v>0.4655999999998812</v>
      </c>
    </row>
    <row r="7" spans="1:7" s="43" customFormat="1" ht="15">
      <c r="A7" s="41"/>
      <c r="B7" s="41"/>
      <c r="C7" s="41">
        <f>SUM(C4:C6)</f>
        <v>2.65</v>
      </c>
      <c r="D7" s="41">
        <v>7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0"/>
  </sheetPr>
  <dimension ref="A1:H17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  <col min="8" max="8" width="23.7109375" style="0" customWidth="1"/>
  </cols>
  <sheetData>
    <row r="1" spans="1:5" s="28" customFormat="1" ht="21">
      <c r="A1" s="29" t="s">
        <v>251</v>
      </c>
      <c r="B1" s="30">
        <v>41298</v>
      </c>
      <c r="C1" s="31" t="s">
        <v>252</v>
      </c>
      <c r="D1" s="48">
        <v>30.05</v>
      </c>
      <c r="E1" s="28" t="s">
        <v>253</v>
      </c>
    </row>
    <row r="2" s="28" customFormat="1" ht="15">
      <c r="A2" s="46" t="s">
        <v>299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233</v>
      </c>
      <c r="B4" s="9">
        <v>13.52</v>
      </c>
      <c r="C4" s="9">
        <v>0.151</v>
      </c>
      <c r="D4" s="9">
        <f aca="true" t="shared" si="0" ref="D4:D9">C4/$C$10*$D$10</f>
        <v>0.39133654202147344</v>
      </c>
      <c r="E4" s="9">
        <f aca="true" t="shared" si="1" ref="E4:E9">(B4+D4)*$D$1</f>
        <v>418.03566308774526</v>
      </c>
      <c r="F4" s="39">
        <v>423</v>
      </c>
      <c r="G4" s="39">
        <f>-E4+F4</f>
        <v>4.964336912254737</v>
      </c>
    </row>
    <row r="5" spans="1:7" s="35" customFormat="1" ht="15">
      <c r="A5" s="9" t="s">
        <v>230</v>
      </c>
      <c r="B5" s="9">
        <v>15.5</v>
      </c>
      <c r="C5" s="9">
        <v>0.8</v>
      </c>
      <c r="D5" s="9">
        <f t="shared" si="0"/>
        <v>2.073306182895224</v>
      </c>
      <c r="E5" s="9">
        <f t="shared" si="1"/>
        <v>528.0778507960015</v>
      </c>
      <c r="F5" s="39">
        <v>758</v>
      </c>
      <c r="G5" s="39">
        <f>-E5+F5</f>
        <v>229.92214920399852</v>
      </c>
    </row>
    <row r="6" spans="1:7" s="35" customFormat="1" ht="15">
      <c r="A6" s="9" t="s">
        <v>69</v>
      </c>
      <c r="B6" s="9">
        <v>31.82</v>
      </c>
      <c r="C6" s="9">
        <v>0.89</v>
      </c>
      <c r="D6" s="9">
        <f t="shared" si="0"/>
        <v>2.306553128470936</v>
      </c>
      <c r="E6" s="9">
        <f t="shared" si="1"/>
        <v>1025.5029215105517</v>
      </c>
      <c r="F6" s="39">
        <v>1027</v>
      </c>
      <c r="G6" s="39">
        <f>-E6+F6</f>
        <v>1.4970784894483131</v>
      </c>
    </row>
    <row r="7" spans="1:7" s="35" customFormat="1" ht="15">
      <c r="A7" s="9" t="s">
        <v>84</v>
      </c>
      <c r="B7" s="9">
        <v>3.35</v>
      </c>
      <c r="C7" s="9">
        <v>0.05</v>
      </c>
      <c r="D7" s="9">
        <f t="shared" si="0"/>
        <v>0.1295816364309515</v>
      </c>
      <c r="E7" s="9">
        <f t="shared" si="1"/>
        <v>104.56142817475009</v>
      </c>
      <c r="F7" s="39">
        <v>106</v>
      </c>
      <c r="G7" s="39">
        <f>-E7+F7</f>
        <v>1.438571825249909</v>
      </c>
    </row>
    <row r="8" spans="1:8" s="35" customFormat="1" ht="45">
      <c r="A8" s="9" t="s">
        <v>243</v>
      </c>
      <c r="B8" s="9">
        <v>22.01</v>
      </c>
      <c r="C8" s="9">
        <v>0.11</v>
      </c>
      <c r="D8" s="9">
        <f t="shared" si="0"/>
        <v>0.28507960014809325</v>
      </c>
      <c r="E8" s="9">
        <f t="shared" si="1"/>
        <v>669.9671419844503</v>
      </c>
      <c r="F8" s="39">
        <v>680</v>
      </c>
      <c r="G8" s="39">
        <f>-E8+F8-13</f>
        <v>-2.967141984450336</v>
      </c>
      <c r="H8" s="53" t="s">
        <v>300</v>
      </c>
    </row>
    <row r="9" spans="1:7" s="35" customFormat="1" ht="15">
      <c r="A9" s="9" t="s">
        <v>264</v>
      </c>
      <c r="B9" s="11">
        <v>3.82</v>
      </c>
      <c r="C9" s="11">
        <v>0.7</v>
      </c>
      <c r="D9" s="9">
        <f t="shared" si="0"/>
        <v>1.8141429100333206</v>
      </c>
      <c r="E9" s="9">
        <f t="shared" si="1"/>
        <v>169.30599444650127</v>
      </c>
      <c r="F9" s="39">
        <v>180</v>
      </c>
      <c r="G9" s="39">
        <f>-E9+F9</f>
        <v>10.694005553498727</v>
      </c>
    </row>
    <row r="10" spans="1:7" s="43" customFormat="1" ht="15">
      <c r="A10" s="41"/>
      <c r="B10" s="41"/>
      <c r="C10" s="41">
        <f>SUM(C4:C9)</f>
        <v>2.7010000000000005</v>
      </c>
      <c r="D10" s="41">
        <v>7</v>
      </c>
      <c r="E10" s="41"/>
      <c r="F10" s="41"/>
      <c r="G10" s="41"/>
    </row>
    <row r="13" ht="31.5">
      <c r="A13" s="49"/>
    </row>
    <row r="14" ht="31.5">
      <c r="A14" s="49"/>
    </row>
    <row r="15" ht="15">
      <c r="A15" s="38"/>
    </row>
    <row r="16" ht="15">
      <c r="A16" s="38"/>
    </row>
    <row r="17" ht="15">
      <c r="A17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0"/>
  </sheetPr>
  <dimension ref="A1:G17"/>
  <sheetViews>
    <sheetView zoomScalePageLayoutView="0" workbookViewId="0" topLeftCell="A1">
      <selection activeCell="E4" sqref="E4:E8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41298</v>
      </c>
      <c r="C1" s="31" t="s">
        <v>252</v>
      </c>
      <c r="D1" s="48">
        <v>30.05</v>
      </c>
      <c r="E1" s="28" t="s">
        <v>253</v>
      </c>
    </row>
    <row r="2" s="28" customFormat="1" ht="15">
      <c r="A2" s="46" t="s">
        <v>299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301</v>
      </c>
      <c r="B4" s="11">
        <v>5.76</v>
      </c>
      <c r="C4" s="11">
        <v>0.03</v>
      </c>
      <c r="D4" s="9">
        <f aca="true" t="shared" si="0" ref="D4:D9">C4/$C$10*$D$10</f>
        <v>0.09022556390977443</v>
      </c>
      <c r="E4" s="9">
        <f>(B4+D4)*$D$1</f>
        <v>175.7992781954887</v>
      </c>
      <c r="F4" s="39">
        <v>178</v>
      </c>
      <c r="G4" s="39">
        <f>-E4+F4</f>
        <v>2.2007218045112893</v>
      </c>
    </row>
    <row r="5" spans="1:7" s="35" customFormat="1" ht="15">
      <c r="A5" s="9" t="s">
        <v>230</v>
      </c>
      <c r="B5" s="9">
        <v>6.36</v>
      </c>
      <c r="C5" s="9">
        <v>0.32</v>
      </c>
      <c r="D5" s="9">
        <f t="shared" si="0"/>
        <v>0.9624060150375939</v>
      </c>
      <c r="E5" s="9">
        <f>(B5+D5)*$D$1</f>
        <v>220.03830075187972</v>
      </c>
      <c r="F5" s="39"/>
      <c r="G5" s="39">
        <f>-E5+F5</f>
        <v>-220.03830075187972</v>
      </c>
    </row>
    <row r="6" spans="1:7" s="35" customFormat="1" ht="15">
      <c r="A6" s="9" t="s">
        <v>302</v>
      </c>
      <c r="B6" s="54">
        <v>12.73</v>
      </c>
      <c r="C6" s="9">
        <v>0.11</v>
      </c>
      <c r="D6" s="9">
        <f t="shared" si="0"/>
        <v>0.3308270676691729</v>
      </c>
      <c r="E6" s="9">
        <f>(B6+D6)*$D$1</f>
        <v>392.47785338345864</v>
      </c>
      <c r="F6" s="39">
        <v>398</v>
      </c>
      <c r="G6" s="39">
        <f>-E6+F6</f>
        <v>5.522146616541363</v>
      </c>
    </row>
    <row r="7" spans="1:7" s="35" customFormat="1" ht="15">
      <c r="A7" s="9" t="s">
        <v>56</v>
      </c>
      <c r="B7" s="9">
        <v>11.31</v>
      </c>
      <c r="C7" s="9">
        <v>0.42000000000000004</v>
      </c>
      <c r="D7" s="9">
        <f t="shared" si="0"/>
        <v>1.2631578947368423</v>
      </c>
      <c r="E7" s="9">
        <f>(B7+D7)*$D$1</f>
        <v>377.82339473684215</v>
      </c>
      <c r="F7" s="39">
        <v>342</v>
      </c>
      <c r="G7" s="39">
        <f>-E7+F7</f>
        <v>-35.82339473684215</v>
      </c>
    </row>
    <row r="8" spans="1:7" s="35" customFormat="1" ht="15">
      <c r="A8" s="9" t="s">
        <v>70</v>
      </c>
      <c r="B8" s="9">
        <v>40.39</v>
      </c>
      <c r="C8" s="9">
        <v>0.42</v>
      </c>
      <c r="D8" s="9">
        <f t="shared" si="0"/>
        <v>1.263157894736842</v>
      </c>
      <c r="E8" s="9">
        <f>(B8+D8)*$D$1</f>
        <v>1251.6773947368422</v>
      </c>
      <c r="F8" s="39">
        <v>1247</v>
      </c>
      <c r="G8" s="39">
        <f>-E8+F8</f>
        <v>-4.677394736842189</v>
      </c>
    </row>
    <row r="9" spans="1:7" s="35" customFormat="1" ht="15">
      <c r="A9" s="9" t="s">
        <v>260</v>
      </c>
      <c r="B9" s="11">
        <v>1.15</v>
      </c>
      <c r="C9" s="11">
        <v>0.03</v>
      </c>
      <c r="D9" s="9">
        <f t="shared" si="0"/>
        <v>0.09022556390977443</v>
      </c>
      <c r="E9" s="36"/>
      <c r="F9" s="47"/>
      <c r="G9" s="47"/>
    </row>
    <row r="10" spans="1:7" s="43" customFormat="1" ht="15">
      <c r="A10" s="41"/>
      <c r="B10" s="41"/>
      <c r="C10" s="41">
        <f>SUM(C4:C9)</f>
        <v>1.33</v>
      </c>
      <c r="D10" s="41">
        <v>4</v>
      </c>
      <c r="E10" s="41"/>
      <c r="F10" s="41"/>
      <c r="G10" s="41"/>
    </row>
    <row r="13" ht="31.5">
      <c r="A13" s="49"/>
    </row>
    <row r="14" ht="31.5">
      <c r="A14" s="49"/>
    </row>
    <row r="15" ht="15">
      <c r="A15" s="38"/>
    </row>
    <row r="16" ht="15">
      <c r="A16" s="38"/>
    </row>
    <row r="17" ht="15">
      <c r="A17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A12" sqref="A12:A1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41312</v>
      </c>
      <c r="C1" s="31" t="s">
        <v>252</v>
      </c>
      <c r="D1" s="48">
        <v>30.16</v>
      </c>
      <c r="E1" s="28" t="s">
        <v>253</v>
      </c>
    </row>
    <row r="2" s="28" customFormat="1" ht="15">
      <c r="A2" s="46" t="s">
        <v>303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18" t="s">
        <v>97</v>
      </c>
      <c r="B4" s="55">
        <v>4.87</v>
      </c>
      <c r="C4" s="56">
        <v>0.27</v>
      </c>
      <c r="D4" s="18">
        <f>C4/$C$9*$D$9</f>
        <v>1.204460966542751</v>
      </c>
      <c r="E4" s="18">
        <f>(B4+D4)*$D$1</f>
        <v>183.20574275092937</v>
      </c>
      <c r="F4" s="57">
        <v>300</v>
      </c>
      <c r="G4" s="57">
        <f>-E4+F4</f>
        <v>116.79425724907063</v>
      </c>
    </row>
    <row r="5" spans="1:7" ht="15">
      <c r="A5" s="40" t="s">
        <v>304</v>
      </c>
      <c r="B5" s="40">
        <v>25.94</v>
      </c>
      <c r="C5" s="40">
        <v>0.24</v>
      </c>
      <c r="D5" s="9">
        <f>C5/$C$9*$D$9</f>
        <v>1.070631970260223</v>
      </c>
      <c r="E5" s="9">
        <f>(B5+D5)*$D$1</f>
        <v>814.6406602230484</v>
      </c>
      <c r="F5" s="40">
        <v>817</v>
      </c>
      <c r="G5" s="39">
        <f>-E5+F5</f>
        <v>2.3593397769516287</v>
      </c>
    </row>
    <row r="6" spans="1:7" s="35" customFormat="1" ht="15">
      <c r="A6" s="9" t="s">
        <v>305</v>
      </c>
      <c r="B6" s="40">
        <v>13.95</v>
      </c>
      <c r="C6" s="58">
        <v>0.11</v>
      </c>
      <c r="D6" s="9">
        <f>C6/$C$9*$D$9</f>
        <v>0.49070631970260226</v>
      </c>
      <c r="E6" s="9">
        <f>(B6+D6)*$D$1</f>
        <v>435.53170260223044</v>
      </c>
      <c r="F6" s="39">
        <v>850</v>
      </c>
      <c r="G6" s="39">
        <f>-E6+F6</f>
        <v>414.46829739776956</v>
      </c>
    </row>
    <row r="7" spans="1:7" s="35" customFormat="1" ht="15">
      <c r="A7" s="9" t="s">
        <v>147</v>
      </c>
      <c r="B7" s="40">
        <v>5.75</v>
      </c>
      <c r="C7" s="11">
        <v>0.08</v>
      </c>
      <c r="D7" s="9">
        <f>C7/$C$9*$D$9</f>
        <v>0.3568773234200744</v>
      </c>
      <c r="E7" s="9">
        <f>(B7+D7)*$D$1</f>
        <v>184.18342007434944</v>
      </c>
      <c r="F7" s="39">
        <v>181</v>
      </c>
      <c r="G7" s="39">
        <f>-E7+F7</f>
        <v>-3.183420074349442</v>
      </c>
    </row>
    <row r="8" spans="1:7" s="35" customFormat="1" ht="15">
      <c r="A8" s="9" t="s">
        <v>194</v>
      </c>
      <c r="B8" s="11">
        <v>30.92</v>
      </c>
      <c r="C8" s="11">
        <v>1.99</v>
      </c>
      <c r="D8" s="9">
        <f>C8/$C$9*$D$9</f>
        <v>8.877323420074351</v>
      </c>
      <c r="E8" s="9">
        <f>(B8+D8)*$D$1</f>
        <v>1200.2872743494424</v>
      </c>
      <c r="F8" s="39"/>
      <c r="G8" s="39">
        <f>-E8+F8</f>
        <v>-1200.2872743494424</v>
      </c>
    </row>
    <row r="9" spans="1:7" s="43" customFormat="1" ht="15">
      <c r="A9" s="41"/>
      <c r="B9" s="41"/>
      <c r="C9" s="41">
        <f>SUM(C4:C8)</f>
        <v>2.69</v>
      </c>
      <c r="D9" s="41">
        <v>12</v>
      </c>
      <c r="E9" s="41"/>
      <c r="F9" s="41"/>
      <c r="G9" s="41"/>
    </row>
    <row r="10" ht="15">
      <c r="C10" s="59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A9" sqref="A9:A13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41312</v>
      </c>
      <c r="C1" s="31" t="s">
        <v>252</v>
      </c>
      <c r="D1" s="48">
        <v>30.16</v>
      </c>
      <c r="E1" s="28" t="s">
        <v>253</v>
      </c>
    </row>
    <row r="2" s="28" customFormat="1" ht="15">
      <c r="A2" s="46" t="s">
        <v>303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18" t="s">
        <v>194</v>
      </c>
      <c r="B4" s="55">
        <v>33.28</v>
      </c>
      <c r="C4" s="56">
        <v>2.15</v>
      </c>
      <c r="D4" s="18">
        <f>C4/$C$6*$D$6</f>
        <v>9.591078066914498</v>
      </c>
      <c r="E4" s="18">
        <f>(B4+D4)*$D$1</f>
        <v>1292.9917144981414</v>
      </c>
      <c r="F4" s="57">
        <v>2500</v>
      </c>
      <c r="G4" s="57">
        <f>-E4+F4</f>
        <v>1207.0082855018586</v>
      </c>
    </row>
    <row r="5" spans="1:7" ht="15">
      <c r="A5" s="40" t="s">
        <v>73</v>
      </c>
      <c r="B5" s="40">
        <v>47.51</v>
      </c>
      <c r="C5" s="40">
        <v>0.54</v>
      </c>
      <c r="D5" s="18">
        <f>C5/$C$6*$D$6</f>
        <v>2.408921933085502</v>
      </c>
      <c r="E5" s="18">
        <f>(B5+D5)*$D$1</f>
        <v>1505.5546855018588</v>
      </c>
      <c r="F5" s="57">
        <v>1653</v>
      </c>
      <c r="G5" s="57">
        <f>-E5+F5</f>
        <v>147.44531449814122</v>
      </c>
    </row>
    <row r="6" spans="1:7" s="43" customFormat="1" ht="15">
      <c r="A6" s="41"/>
      <c r="B6" s="41"/>
      <c r="C6" s="41">
        <f>SUM(C4:C5)</f>
        <v>2.69</v>
      </c>
      <c r="D6" s="41">
        <v>12</v>
      </c>
      <c r="E6" s="41"/>
      <c r="F6" s="41"/>
      <c r="G6" s="41"/>
    </row>
    <row r="9" ht="31.5">
      <c r="A9" s="49"/>
    </row>
    <row r="10" ht="31.5">
      <c r="A10" s="49"/>
    </row>
    <row r="11" ht="15">
      <c r="A11" s="38"/>
    </row>
    <row r="12" ht="15">
      <c r="A12" s="38"/>
    </row>
    <row r="13" ht="15">
      <c r="A13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0"/>
  </sheetPr>
  <dimension ref="A1:G18"/>
  <sheetViews>
    <sheetView zoomScalePageLayoutView="0" workbookViewId="0" topLeftCell="A1">
      <selection activeCell="A14" sqref="A14:A18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41312</v>
      </c>
      <c r="C1" s="31" t="s">
        <v>252</v>
      </c>
      <c r="D1" s="48">
        <v>30.16</v>
      </c>
      <c r="E1" s="28" t="s">
        <v>253</v>
      </c>
    </row>
    <row r="2" s="28" customFormat="1" ht="15">
      <c r="A2" s="46" t="s">
        <v>303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306</v>
      </c>
      <c r="B4" s="60">
        <v>3.52</v>
      </c>
      <c r="C4" s="11">
        <v>0.16</v>
      </c>
      <c r="D4" s="9">
        <f>C4/$C$11*$D$11</f>
        <v>0.7164179104477612</v>
      </c>
      <c r="E4" s="9">
        <f>(B4+D4)*$D$1</f>
        <v>127.77036417910448</v>
      </c>
      <c r="F4" s="39">
        <v>128</v>
      </c>
      <c r="G4" s="39">
        <f aca="true" t="shared" si="0" ref="G4:G9">-E4+F4</f>
        <v>0.22963582089552403</v>
      </c>
    </row>
    <row r="5" spans="1:7" s="35" customFormat="1" ht="15">
      <c r="A5" s="9" t="s">
        <v>65</v>
      </c>
      <c r="B5" s="40">
        <v>8.5</v>
      </c>
      <c r="C5" s="11">
        <v>0.1</v>
      </c>
      <c r="D5" s="9">
        <f>C5/$C$11*$D$11</f>
        <v>0.4477611940298507</v>
      </c>
      <c r="E5" s="9">
        <f>(B5+D5)*$D$1</f>
        <v>269.86447761194034</v>
      </c>
      <c r="F5" s="39">
        <v>264</v>
      </c>
      <c r="G5" s="39">
        <f t="shared" si="0"/>
        <v>-5.864477611940345</v>
      </c>
    </row>
    <row r="6" spans="1:7" s="35" customFormat="1" ht="15">
      <c r="A6" s="9" t="s">
        <v>302</v>
      </c>
      <c r="B6" s="40">
        <v>8.5</v>
      </c>
      <c r="C6" s="11">
        <v>0.1</v>
      </c>
      <c r="D6" s="9">
        <f>C6/'55'!$C$9*'55'!$D$9</f>
        <v>0.44609665427509293</v>
      </c>
      <c r="E6" s="9">
        <f>(B6+D6)*'55'!$D$1</f>
        <v>269.81427509293684</v>
      </c>
      <c r="F6" s="39">
        <v>267</v>
      </c>
      <c r="G6" s="39">
        <f t="shared" si="0"/>
        <v>-2.814275092936839</v>
      </c>
    </row>
    <row r="7" spans="1:7" s="35" customFormat="1" ht="15">
      <c r="A7" s="9" t="s">
        <v>220</v>
      </c>
      <c r="B7" s="40">
        <v>24.82</v>
      </c>
      <c r="C7" s="40">
        <v>0.45</v>
      </c>
      <c r="D7" s="9">
        <f>C7/'55'!$C$9*'55'!$D$9</f>
        <v>2.0074349442379185</v>
      </c>
      <c r="E7" s="9">
        <f>(B7+D7)*'55'!$D$1</f>
        <v>809.1154379182157</v>
      </c>
      <c r="F7" s="39">
        <f>467+345</f>
        <v>812</v>
      </c>
      <c r="G7" s="39">
        <f t="shared" si="0"/>
        <v>2.8845620817843383</v>
      </c>
    </row>
    <row r="8" spans="1:7" s="35" customFormat="1" ht="15">
      <c r="A8" s="9" t="s">
        <v>73</v>
      </c>
      <c r="B8" s="54">
        <v>4.95</v>
      </c>
      <c r="C8" s="9">
        <v>0.21</v>
      </c>
      <c r="D8" s="9">
        <f>C8/'56'!$C$6*'56'!$D$6</f>
        <v>0.9368029739776952</v>
      </c>
      <c r="E8" s="9">
        <f>(B8+D8)*'56'!$D$1</f>
        <v>177.5459776951673</v>
      </c>
      <c r="F8" s="39"/>
      <c r="G8" s="39">
        <f t="shared" si="0"/>
        <v>-177.5459776951673</v>
      </c>
    </row>
    <row r="9" spans="1:7" s="35" customFormat="1" ht="15">
      <c r="A9" s="9" t="s">
        <v>69</v>
      </c>
      <c r="B9" s="40">
        <v>32.1</v>
      </c>
      <c r="C9" s="11">
        <v>1.37</v>
      </c>
      <c r="D9" s="9">
        <f>C9/$C$11*$D$11</f>
        <v>6.134328358208955</v>
      </c>
      <c r="E9" s="9">
        <f>(B9+D9)*$D$1</f>
        <v>1153.1473432835821</v>
      </c>
      <c r="F9" s="39">
        <f>1143+14</f>
        <v>1157</v>
      </c>
      <c r="G9" s="39">
        <f t="shared" si="0"/>
        <v>3.8526567164178687</v>
      </c>
    </row>
    <row r="10" spans="1:7" s="35" customFormat="1" ht="15">
      <c r="A10" s="9" t="s">
        <v>260</v>
      </c>
      <c r="B10" s="40">
        <v>9.4</v>
      </c>
      <c r="C10" s="11">
        <v>0.29</v>
      </c>
      <c r="D10" s="9">
        <f>C10/$C$11*$D$11</f>
        <v>1.298507462686567</v>
      </c>
      <c r="E10" s="41"/>
      <c r="F10" s="41"/>
      <c r="G10" s="41"/>
    </row>
    <row r="11" spans="1:7" s="43" customFormat="1" ht="15">
      <c r="A11" s="41"/>
      <c r="B11" s="41"/>
      <c r="C11" s="41">
        <f>SUM(C4:C10)</f>
        <v>2.68</v>
      </c>
      <c r="D11" s="41">
        <v>12</v>
      </c>
      <c r="E11" s="41"/>
      <c r="F11" s="41"/>
      <c r="G11" s="41"/>
    </row>
    <row r="14" ht="31.5">
      <c r="A14" s="49"/>
    </row>
    <row r="15" ht="31.5">
      <c r="A15" s="49"/>
    </row>
    <row r="16" ht="15">
      <c r="A16" s="38"/>
    </row>
    <row r="17" ht="15">
      <c r="A17" s="38"/>
    </row>
    <row r="18" ht="15">
      <c r="A1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41312</v>
      </c>
      <c r="C1" s="31" t="s">
        <v>252</v>
      </c>
      <c r="D1" s="48">
        <v>30.16</v>
      </c>
      <c r="E1" s="28" t="s">
        <v>253</v>
      </c>
    </row>
    <row r="2" s="28" customFormat="1" ht="15">
      <c r="A2" s="46" t="s">
        <v>303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216</v>
      </c>
      <c r="B4" s="60">
        <v>17.75</v>
      </c>
      <c r="C4" s="11">
        <v>0.32</v>
      </c>
      <c r="D4" s="9">
        <f>C4/$C$7*$D$7</f>
        <v>1.4382022471910112</v>
      </c>
      <c r="E4" s="9">
        <f>(B4+D4)*$D$1</f>
        <v>578.7161797752809</v>
      </c>
      <c r="F4" s="39">
        <v>581</v>
      </c>
      <c r="G4" s="39">
        <f>-E4+F4</f>
        <v>2.2838202247190793</v>
      </c>
    </row>
    <row r="5" spans="1:7" s="35" customFormat="1" ht="15">
      <c r="A5" s="9" t="s">
        <v>56</v>
      </c>
      <c r="B5" s="40">
        <v>31.18</v>
      </c>
      <c r="C5" s="11">
        <v>0.8</v>
      </c>
      <c r="D5" s="9">
        <f>C5/$C$7*$D$7</f>
        <v>3.595505617977528</v>
      </c>
      <c r="E5" s="9">
        <f>(B5+D5)*$D$1</f>
        <v>1048.8292494382024</v>
      </c>
      <c r="F5" s="39">
        <v>1047</v>
      </c>
      <c r="G5" s="39">
        <f>-E5+F5</f>
        <v>-1.829249438202396</v>
      </c>
    </row>
    <row r="6" spans="1:7" s="35" customFormat="1" ht="15">
      <c r="A6" s="9" t="s">
        <v>260</v>
      </c>
      <c r="B6" s="40">
        <v>41.94</v>
      </c>
      <c r="C6" s="11">
        <v>1.55</v>
      </c>
      <c r="D6" s="9">
        <f>C6/$C$7*$D$7</f>
        <v>6.966292134831462</v>
      </c>
      <c r="E6" s="41"/>
      <c r="F6" s="41"/>
      <c r="G6" s="41"/>
    </row>
    <row r="7" spans="1:7" s="43" customFormat="1" ht="15">
      <c r="A7" s="41"/>
      <c r="B7" s="41"/>
      <c r="C7" s="41">
        <v>2.67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41313</v>
      </c>
      <c r="C1" s="31" t="s">
        <v>252</v>
      </c>
      <c r="D1" s="48">
        <v>30.16</v>
      </c>
      <c r="E1" s="28" t="s">
        <v>253</v>
      </c>
    </row>
    <row r="2" s="28" customFormat="1" ht="15">
      <c r="A2" s="46" t="s">
        <v>307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271</v>
      </c>
      <c r="B4" s="60">
        <v>65.66</v>
      </c>
      <c r="C4" s="11">
        <v>1.47</v>
      </c>
      <c r="D4" s="9">
        <f>C4/$C$7*$D$7</f>
        <v>6.5092250922509205</v>
      </c>
      <c r="E4" s="9">
        <f>(B4+D4)*$D$1</f>
        <v>2176.6238287822875</v>
      </c>
      <c r="F4" s="39">
        <v>2190</v>
      </c>
      <c r="G4" s="39">
        <f>-E4+F4</f>
        <v>13.376171217712454</v>
      </c>
    </row>
    <row r="5" spans="1:7" s="35" customFormat="1" ht="15">
      <c r="A5" s="9" t="s">
        <v>69</v>
      </c>
      <c r="B5" s="40">
        <v>27.65</v>
      </c>
      <c r="C5" s="11">
        <v>1.1</v>
      </c>
      <c r="D5" s="9">
        <f>C5/$C$7*$D$7</f>
        <v>4.870848708487085</v>
      </c>
      <c r="E5" s="9">
        <f>(B5+D5)*$D$1</f>
        <v>980.8287970479703</v>
      </c>
      <c r="F5" s="39">
        <v>987</v>
      </c>
      <c r="G5" s="39">
        <f>-E5+F5</f>
        <v>6.1712029520297165</v>
      </c>
    </row>
    <row r="6" spans="1:7" s="35" customFormat="1" ht="15">
      <c r="A6" s="9" t="s">
        <v>260</v>
      </c>
      <c r="B6" s="40">
        <v>3.46</v>
      </c>
      <c r="C6" s="11">
        <v>0.14</v>
      </c>
      <c r="D6" s="9">
        <f>C6/$C$7*$D$7</f>
        <v>0.6199261992619925</v>
      </c>
      <c r="E6" s="41"/>
      <c r="F6" s="41"/>
      <c r="G6" s="41"/>
    </row>
    <row r="7" spans="1:7" s="43" customFormat="1" ht="15">
      <c r="A7" s="41"/>
      <c r="B7" s="41"/>
      <c r="C7" s="41">
        <f>SUM(C4:C6)</f>
        <v>2.7100000000000004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41154</v>
      </c>
      <c r="C1" s="31" t="s">
        <v>252</v>
      </c>
      <c r="D1" s="32">
        <v>32.2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152</v>
      </c>
      <c r="B4" s="9">
        <v>22.74</v>
      </c>
      <c r="C4" s="9">
        <v>1.2</v>
      </c>
      <c r="D4" s="9">
        <f>C4/C6*D6</f>
        <v>2.6373626373626373</v>
      </c>
      <c r="E4" s="9">
        <f>(B4+D4)*$D$1</f>
        <v>817.151076923077</v>
      </c>
      <c r="F4" s="39">
        <v>843</v>
      </c>
      <c r="G4" s="39">
        <f>-E4+F4</f>
        <v>25.84892307692303</v>
      </c>
    </row>
    <row r="5" spans="1:7" ht="15">
      <c r="A5" s="9" t="s">
        <v>260</v>
      </c>
      <c r="B5" s="9">
        <v>30.1</v>
      </c>
      <c r="C5" s="9">
        <v>0.62</v>
      </c>
      <c r="D5" s="9">
        <f>C5/C6*D6</f>
        <v>1.3626373626373627</v>
      </c>
      <c r="E5" s="9">
        <f>(B5+C5+D5)*$D$1</f>
        <v>1033.0609230769232</v>
      </c>
      <c r="F5" s="39"/>
      <c r="G5" s="39"/>
    </row>
    <row r="6" spans="1:7" ht="15">
      <c r="A6" s="36"/>
      <c r="B6" s="36"/>
      <c r="C6" s="36">
        <f>SUM(C4:C5)</f>
        <v>1.8199999999999998</v>
      </c>
      <c r="D6" s="36">
        <v>4</v>
      </c>
      <c r="E6" s="36">
        <f>(B6+C6+D6)*$D$1</f>
        <v>187.40400000000002</v>
      </c>
      <c r="F6" s="11"/>
      <c r="G6" s="11"/>
    </row>
    <row r="9" ht="15">
      <c r="A9" s="38" t="s">
        <v>261</v>
      </c>
    </row>
    <row r="10" ht="15">
      <c r="A10" s="38" t="s">
        <v>262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10"/>
  </sheetPr>
  <dimension ref="A1:G1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41320</v>
      </c>
      <c r="C1" s="31" t="s">
        <v>252</v>
      </c>
      <c r="D1" s="48">
        <v>30.12</v>
      </c>
      <c r="E1" s="28" t="s">
        <v>253</v>
      </c>
    </row>
    <row r="2" s="28" customFormat="1" ht="15">
      <c r="A2" s="46" t="s">
        <v>308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309</v>
      </c>
      <c r="B4" s="60">
        <v>59.51</v>
      </c>
      <c r="C4" s="11">
        <v>0.71</v>
      </c>
      <c r="D4" s="9">
        <f aca="true" t="shared" si="0" ref="D4:D10">C4/$C$11*$D$11</f>
        <v>3.191011235955056</v>
      </c>
      <c r="E4" s="9">
        <f>(B4+D4)*$D$1</f>
        <v>1888.5544584269662</v>
      </c>
      <c r="F4" s="39">
        <v>1905</v>
      </c>
      <c r="G4" s="39">
        <f aca="true" t="shared" si="1" ref="G4:G10">-E4+F4</f>
        <v>16.44554157303378</v>
      </c>
    </row>
    <row r="5" spans="1:7" s="35" customFormat="1" ht="15">
      <c r="A5" s="9" t="s">
        <v>97</v>
      </c>
      <c r="B5" s="40">
        <v>11.36</v>
      </c>
      <c r="C5" s="11">
        <v>0.26</v>
      </c>
      <c r="D5" s="9">
        <f t="shared" si="0"/>
        <v>1.1685393258426966</v>
      </c>
      <c r="E5" s="9">
        <f>(B5+D5)*$D$1</f>
        <v>377.359604494382</v>
      </c>
      <c r="F5" s="39">
        <v>265</v>
      </c>
      <c r="G5" s="39">
        <f t="shared" si="1"/>
        <v>-112.35960449438198</v>
      </c>
    </row>
    <row r="6" spans="1:7" s="35" customFormat="1" ht="15">
      <c r="A6" s="9" t="s">
        <v>310</v>
      </c>
      <c r="B6" s="40">
        <v>2.86</v>
      </c>
      <c r="C6" s="11">
        <v>0.16</v>
      </c>
      <c r="D6" s="9">
        <f t="shared" si="0"/>
        <v>0.7191011235955056</v>
      </c>
      <c r="E6" s="9">
        <f>(B6+D6)*'55'!$D$1</f>
        <v>107.94568988764044</v>
      </c>
      <c r="F6" s="39">
        <v>112</v>
      </c>
      <c r="G6" s="39">
        <f t="shared" si="1"/>
        <v>4.054310112359559</v>
      </c>
    </row>
    <row r="7" spans="1:7" s="35" customFormat="1" ht="15">
      <c r="A7" s="9" t="s">
        <v>243</v>
      </c>
      <c r="B7" s="40">
        <v>2.78</v>
      </c>
      <c r="C7" s="40">
        <v>0.08</v>
      </c>
      <c r="D7" s="9">
        <f t="shared" si="0"/>
        <v>0.3595505617977528</v>
      </c>
      <c r="E7" s="9">
        <f>(B7+D7)*'55'!$D$1</f>
        <v>94.68884494382021</v>
      </c>
      <c r="F7" s="39">
        <v>95</v>
      </c>
      <c r="G7" s="39">
        <f t="shared" si="1"/>
        <v>0.31115505617978556</v>
      </c>
    </row>
    <row r="8" spans="1:7" s="35" customFormat="1" ht="15">
      <c r="A8" s="9" t="s">
        <v>264</v>
      </c>
      <c r="B8" s="54">
        <v>4</v>
      </c>
      <c r="C8" s="9">
        <v>1.08</v>
      </c>
      <c r="D8" s="9">
        <f t="shared" si="0"/>
        <v>4.853932584269663</v>
      </c>
      <c r="E8" s="9">
        <f>(B8+D8)*'56'!$D$1</f>
        <v>267.03460674157304</v>
      </c>
      <c r="F8" s="39"/>
      <c r="G8" s="39">
        <f t="shared" si="1"/>
        <v>-267.03460674157304</v>
      </c>
    </row>
    <row r="9" spans="1:7" s="35" customFormat="1" ht="15">
      <c r="A9" s="9" t="s">
        <v>123</v>
      </c>
      <c r="B9" s="40">
        <v>6.9</v>
      </c>
      <c r="C9" s="11">
        <v>0.19</v>
      </c>
      <c r="D9" s="9">
        <f t="shared" si="0"/>
        <v>0.853932584269663</v>
      </c>
      <c r="E9" s="9">
        <f>(B9+D9)*$D$1</f>
        <v>233.54844943820228</v>
      </c>
      <c r="F9" s="39">
        <v>236</v>
      </c>
      <c r="G9" s="39">
        <f t="shared" si="1"/>
        <v>2.451550561797717</v>
      </c>
    </row>
    <row r="10" spans="1:7" s="35" customFormat="1" ht="15">
      <c r="A10" s="9" t="s">
        <v>183</v>
      </c>
      <c r="B10" s="40">
        <v>6.42</v>
      </c>
      <c r="C10" s="11">
        <v>0.19</v>
      </c>
      <c r="D10" s="9">
        <f t="shared" si="0"/>
        <v>0.853932584269663</v>
      </c>
      <c r="E10" s="9">
        <f>(B10+D10)*$D$1</f>
        <v>219.09084943820227</v>
      </c>
      <c r="F10" s="39">
        <v>221</v>
      </c>
      <c r="G10" s="39">
        <f t="shared" si="1"/>
        <v>1.9091505617977305</v>
      </c>
    </row>
    <row r="11" spans="1:7" s="43" customFormat="1" ht="15">
      <c r="A11" s="41"/>
      <c r="B11" s="41"/>
      <c r="C11" s="41">
        <f>SUM(C4:C10)</f>
        <v>2.67</v>
      </c>
      <c r="D11" s="41">
        <v>12</v>
      </c>
      <c r="E11" s="41"/>
      <c r="F11" s="41"/>
      <c r="G11" s="41"/>
    </row>
    <row r="14" ht="31.5">
      <c r="A14" s="49"/>
    </row>
    <row r="15" ht="31.5">
      <c r="A15" s="49"/>
    </row>
    <row r="16" ht="15">
      <c r="A16" s="38"/>
    </row>
    <row r="17" ht="15">
      <c r="A17" s="38"/>
    </row>
    <row r="18" ht="15">
      <c r="A1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41320</v>
      </c>
      <c r="C1" s="31" t="s">
        <v>252</v>
      </c>
      <c r="D1" s="48">
        <v>30.12</v>
      </c>
      <c r="E1" s="28" t="s">
        <v>253</v>
      </c>
    </row>
    <row r="2" s="28" customFormat="1" ht="15">
      <c r="A2" s="46" t="s">
        <v>308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56</v>
      </c>
      <c r="B4" s="60">
        <v>56.18</v>
      </c>
      <c r="C4" s="11">
        <v>1.44</v>
      </c>
      <c r="D4" s="9">
        <f>C4/$C$7*$D$7</f>
        <v>6.447761194029851</v>
      </c>
      <c r="E4" s="9">
        <f>(B4+D4)*$D$1</f>
        <v>1886.3481671641791</v>
      </c>
      <c r="F4" s="39">
        <v>1899</v>
      </c>
      <c r="G4" s="39">
        <f>-E4+F4</f>
        <v>12.65183283582087</v>
      </c>
    </row>
    <row r="5" spans="1:7" s="35" customFormat="1" ht="15">
      <c r="A5" s="9" t="s">
        <v>264</v>
      </c>
      <c r="B5" s="40">
        <v>4.34</v>
      </c>
      <c r="C5" s="11">
        <v>1.21</v>
      </c>
      <c r="D5" s="9">
        <f>C5/$C$7*$D$7</f>
        <v>5.417910447761194</v>
      </c>
      <c r="E5" s="9">
        <f>(B5+D5)*$D$1</f>
        <v>293.9082626865672</v>
      </c>
      <c r="F5" s="39"/>
      <c r="G5" s="39">
        <f>-E5+F5</f>
        <v>-293.9082626865672</v>
      </c>
    </row>
    <row r="6" spans="1:7" s="35" customFormat="1" ht="15">
      <c r="A6" s="9" t="s">
        <v>260</v>
      </c>
      <c r="B6" s="40">
        <v>10.21</v>
      </c>
      <c r="C6" s="11">
        <v>0.03</v>
      </c>
      <c r="D6" s="9">
        <f>C6/$C$7*$D$7</f>
        <v>0.13432835820895522</v>
      </c>
      <c r="E6" s="51"/>
      <c r="F6" s="52"/>
      <c r="G6" s="52"/>
    </row>
    <row r="7" spans="1:7" s="43" customFormat="1" ht="15">
      <c r="A7" s="41"/>
      <c r="B7" s="41"/>
      <c r="C7" s="41">
        <f>SUM(C4:C6)</f>
        <v>2.6799999999999997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41320</v>
      </c>
      <c r="C1" s="31" t="s">
        <v>252</v>
      </c>
      <c r="D1" s="48">
        <v>30.12</v>
      </c>
      <c r="E1" s="28" t="s">
        <v>253</v>
      </c>
    </row>
    <row r="2" s="28" customFormat="1" ht="15">
      <c r="A2" s="46" t="s">
        <v>308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305</v>
      </c>
      <c r="B4" s="60">
        <v>13.28</v>
      </c>
      <c r="C4" s="11">
        <v>0.16</v>
      </c>
      <c r="D4" s="9">
        <f>C4/$C$9*$D$9</f>
        <v>0.7134894091415831</v>
      </c>
      <c r="E4" s="9">
        <f>(B4+D4)*$D$1</f>
        <v>421.4839010033445</v>
      </c>
      <c r="F4" s="39"/>
      <c r="G4" s="39">
        <f>-E4+F4</f>
        <v>-421.4839010033445</v>
      </c>
    </row>
    <row r="5" spans="1:7" s="35" customFormat="1" ht="15">
      <c r="A5" s="9" t="s">
        <v>264</v>
      </c>
      <c r="B5" s="40">
        <v>4.37</v>
      </c>
      <c r="C5" s="11">
        <v>1.21</v>
      </c>
      <c r="D5" s="9">
        <f>C5/$C$9*$D$9</f>
        <v>5.395763656633222</v>
      </c>
      <c r="E5" s="9">
        <f>(B5+D5)*'55'!$D$1</f>
        <v>294.53543188405797</v>
      </c>
      <c r="F5" s="39">
        <v>858</v>
      </c>
      <c r="G5" s="39">
        <f>-E5+F5</f>
        <v>563.464568115942</v>
      </c>
    </row>
    <row r="6" spans="1:7" s="35" customFormat="1" ht="15">
      <c r="A6" s="9" t="s">
        <v>69</v>
      </c>
      <c r="B6" s="40">
        <v>18.81</v>
      </c>
      <c r="C6" s="40">
        <v>0.85</v>
      </c>
      <c r="D6" s="9">
        <f>C6/$C$9*$D$9</f>
        <v>3.7904124860646604</v>
      </c>
      <c r="E6" s="9">
        <f>(B6+D6)*'55'!$D$1</f>
        <v>681.6284405797102</v>
      </c>
      <c r="F6" s="39">
        <v>657</v>
      </c>
      <c r="G6" s="39">
        <f>-E6+F6</f>
        <v>-24.628440579710173</v>
      </c>
    </row>
    <row r="7" spans="1:7" s="35" customFormat="1" ht="15">
      <c r="A7" s="9" t="s">
        <v>65</v>
      </c>
      <c r="B7" s="54">
        <v>11.11</v>
      </c>
      <c r="C7" s="9">
        <v>0.311</v>
      </c>
      <c r="D7" s="9">
        <f>C7/$C$9*$D$9</f>
        <v>1.3868450390189522</v>
      </c>
      <c r="E7" s="9">
        <f>(B7+D7)*'56'!$D$1</f>
        <v>376.9048463768116</v>
      </c>
      <c r="F7" s="39">
        <v>377</v>
      </c>
      <c r="G7" s="39">
        <f>-E7+F7</f>
        <v>0.09515362318842335</v>
      </c>
    </row>
    <row r="8" spans="1:7" s="35" customFormat="1" ht="15">
      <c r="A8" s="9" t="s">
        <v>260</v>
      </c>
      <c r="B8" s="60">
        <v>13.28</v>
      </c>
      <c r="C8" s="11">
        <v>0.16</v>
      </c>
      <c r="D8" s="9">
        <f>C8/$C$9*$D$9</f>
        <v>0.7134894091415831</v>
      </c>
      <c r="E8" s="51"/>
      <c r="F8" s="52"/>
      <c r="G8" s="52"/>
    </row>
    <row r="9" spans="1:7" s="43" customFormat="1" ht="15">
      <c r="A9" s="41"/>
      <c r="B9" s="41"/>
      <c r="C9" s="41">
        <f>SUM(C4:C8)</f>
        <v>2.691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41331</v>
      </c>
      <c r="C1" s="31" t="s">
        <v>252</v>
      </c>
      <c r="D1" s="48">
        <f>30.5889*1.01</f>
        <v>30.894789</v>
      </c>
      <c r="E1" s="28" t="s">
        <v>253</v>
      </c>
    </row>
    <row r="2" s="28" customFormat="1" ht="15">
      <c r="A2" s="46" t="s">
        <v>311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69</v>
      </c>
      <c r="B4" s="60">
        <v>80.42</v>
      </c>
      <c r="C4" s="11">
        <v>2.7</v>
      </c>
      <c r="D4" s="9">
        <f>C4/$C$5*$D$5</f>
        <v>12</v>
      </c>
      <c r="E4" s="9">
        <f>(B4+D4)*$D$1</f>
        <v>2855.29639938</v>
      </c>
      <c r="F4" s="39">
        <v>2856</v>
      </c>
      <c r="G4" s="39">
        <f>-E4+F4</f>
        <v>0.7036006200000884</v>
      </c>
    </row>
    <row r="5" spans="1:7" s="43" customFormat="1" ht="15">
      <c r="A5" s="41"/>
      <c r="B5" s="41"/>
      <c r="C5" s="41">
        <f>SUM(C4:C4)</f>
        <v>2.7</v>
      </c>
      <c r="D5" s="41">
        <v>12</v>
      </c>
      <c r="E5" s="41"/>
      <c r="F5" s="41"/>
      <c r="G5" s="41"/>
    </row>
    <row r="8" ht="31.5">
      <c r="A8" s="49" t="s">
        <v>312</v>
      </c>
    </row>
    <row r="9" ht="31.5">
      <c r="A9" s="49" t="s">
        <v>313</v>
      </c>
    </row>
    <row r="10" ht="15">
      <c r="A10" s="38"/>
    </row>
    <row r="11" ht="15">
      <c r="A11" s="38"/>
    </row>
    <row r="12" ht="15">
      <c r="A12" s="38" t="s">
        <v>314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41331</v>
      </c>
      <c r="C1" s="31" t="s">
        <v>252</v>
      </c>
      <c r="D1" s="48">
        <f>30.5889*1.01</f>
        <v>30.894789</v>
      </c>
      <c r="E1" s="28" t="s">
        <v>253</v>
      </c>
    </row>
    <row r="2" s="28" customFormat="1" ht="15">
      <c r="A2" s="46" t="s">
        <v>311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264</v>
      </c>
      <c r="B4" s="11">
        <v>3.56</v>
      </c>
      <c r="C4" s="11">
        <v>0.97</v>
      </c>
      <c r="D4" s="9">
        <f>C4/$C$9*$D$9</f>
        <v>4.311111111111111</v>
      </c>
      <c r="E4" s="9">
        <f>(B4+D4)*$D$1</f>
        <v>243.17631697333331</v>
      </c>
      <c r="F4" s="39">
        <v>154</v>
      </c>
      <c r="G4" s="39">
        <f>-E4+F4</f>
        <v>-89.17631697333331</v>
      </c>
    </row>
    <row r="5" spans="1:7" s="35" customFormat="1" ht="15">
      <c r="A5" s="9" t="s">
        <v>111</v>
      </c>
      <c r="B5" s="40">
        <v>25.81</v>
      </c>
      <c r="C5" s="11">
        <v>0.7</v>
      </c>
      <c r="D5" s="9">
        <f>C5/$C$9*$D$9</f>
        <v>3.1111111111111107</v>
      </c>
      <c r="E5" s="9">
        <f>(B5+D5)*'55'!$D$1</f>
        <v>872.260711111111</v>
      </c>
      <c r="F5" s="39">
        <v>870</v>
      </c>
      <c r="G5" s="39">
        <f>-E5+F5</f>
        <v>-2.26071111111105</v>
      </c>
    </row>
    <row r="6" spans="1:7" s="35" customFormat="1" ht="15">
      <c r="A6" s="9" t="s">
        <v>97</v>
      </c>
      <c r="B6" s="40">
        <v>19.12</v>
      </c>
      <c r="C6" s="40">
        <v>0.45</v>
      </c>
      <c r="D6" s="9">
        <f>C6/$C$9*$D$9</f>
        <v>2</v>
      </c>
      <c r="E6" s="9">
        <f>(B6+D6)*'55'!$D$1</f>
        <v>636.9792</v>
      </c>
      <c r="F6" s="39">
        <v>636</v>
      </c>
      <c r="G6" s="39">
        <f>-E6+F6</f>
        <v>-0.9791999999999916</v>
      </c>
    </row>
    <row r="7" spans="1:7" s="35" customFormat="1" ht="15">
      <c r="A7" s="9" t="s">
        <v>188</v>
      </c>
      <c r="B7" s="54">
        <v>25.77</v>
      </c>
      <c r="C7" s="9">
        <v>0.37</v>
      </c>
      <c r="D7" s="9">
        <f>C7/$C$9*$D$9</f>
        <v>1.6444444444444442</v>
      </c>
      <c r="E7" s="9">
        <f>(B7+D7)*'56'!$D$1</f>
        <v>826.8196444444445</v>
      </c>
      <c r="F7" s="39">
        <v>830</v>
      </c>
      <c r="G7" s="39">
        <f>-E7+F7</f>
        <v>3.1803555555554794</v>
      </c>
    </row>
    <row r="8" spans="1:7" s="35" customFormat="1" ht="15">
      <c r="A8" s="9" t="s">
        <v>260</v>
      </c>
      <c r="B8" s="60">
        <v>14.32</v>
      </c>
      <c r="C8" s="11">
        <v>0.21</v>
      </c>
      <c r="D8" s="9">
        <f>C8/$C$9*$D$9</f>
        <v>0.9333333333333331</v>
      </c>
      <c r="E8" s="51"/>
      <c r="F8" s="52"/>
      <c r="G8" s="52"/>
    </row>
    <row r="9" spans="1:7" s="43" customFormat="1" ht="15">
      <c r="A9" s="41"/>
      <c r="B9" s="41"/>
      <c r="C9" s="41">
        <f>SUM(C4:C8)</f>
        <v>2.7</v>
      </c>
      <c r="D9" s="41">
        <v>12</v>
      </c>
      <c r="E9" s="41"/>
      <c r="F9" s="41"/>
      <c r="G9" s="41"/>
    </row>
    <row r="12" ht="31.5">
      <c r="A12" s="49" t="s">
        <v>312</v>
      </c>
    </row>
    <row r="13" ht="31.5">
      <c r="A13" s="49" t="s">
        <v>313</v>
      </c>
    </row>
    <row r="14" ht="15">
      <c r="A14" s="38"/>
    </row>
    <row r="15" ht="15">
      <c r="A15" s="38"/>
    </row>
    <row r="16" ht="15">
      <c r="A16" s="38" t="s">
        <v>314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41333</v>
      </c>
      <c r="C1" s="31" t="s">
        <v>252</v>
      </c>
      <c r="D1" s="48">
        <f>30.5889*1.01</f>
        <v>30.894789</v>
      </c>
      <c r="E1" s="28" t="s">
        <v>253</v>
      </c>
    </row>
    <row r="2" s="28" customFormat="1" ht="15">
      <c r="A2" s="46" t="s">
        <v>315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65</v>
      </c>
      <c r="B4" s="11">
        <v>6.96</v>
      </c>
      <c r="C4" s="11">
        <v>0.3</v>
      </c>
      <c r="D4" s="9">
        <f>C4/$C$9*$D$9</f>
        <v>1.3584905660377355</v>
      </c>
      <c r="E4" s="9">
        <f>(B4+D4)*$D$1</f>
        <v>256.9980108362264</v>
      </c>
      <c r="F4" s="39">
        <v>257</v>
      </c>
      <c r="G4" s="39">
        <f>-E4+F4</f>
        <v>0.0019891637736009216</v>
      </c>
    </row>
    <row r="5" spans="1:7" s="35" customFormat="1" ht="15">
      <c r="A5" s="9" t="s">
        <v>43</v>
      </c>
      <c r="B5" s="40">
        <v>18.97</v>
      </c>
      <c r="C5" s="11">
        <v>0.77</v>
      </c>
      <c r="D5" s="9">
        <f>C5/$C$9*$D$9</f>
        <v>3.486792452830189</v>
      </c>
      <c r="E5" s="9">
        <f>(B5+D5)*'55'!$D$1</f>
        <v>677.2968603773584</v>
      </c>
      <c r="F5" s="39">
        <v>677</v>
      </c>
      <c r="G5" s="39">
        <f>-E5+F5</f>
        <v>-0.2968603773583709</v>
      </c>
    </row>
    <row r="6" spans="1:7" s="35" customFormat="1" ht="15">
      <c r="A6" s="9" t="s">
        <v>25</v>
      </c>
      <c r="B6" s="40">
        <v>44.15</v>
      </c>
      <c r="C6" s="40">
        <v>1.13</v>
      </c>
      <c r="D6" s="9">
        <f>C6/$C$9*$D$9</f>
        <v>5.116981132075471</v>
      </c>
      <c r="E6" s="9">
        <f>(B6+D6)*'55'!$D$1</f>
        <v>1485.8921509433962</v>
      </c>
      <c r="F6" s="39">
        <v>1486</v>
      </c>
      <c r="G6" s="39">
        <f>-E6+F6</f>
        <v>0.10784905660375443</v>
      </c>
    </row>
    <row r="7" spans="1:7" s="35" customFormat="1" ht="15">
      <c r="A7" s="9" t="s">
        <v>147</v>
      </c>
      <c r="B7" s="54">
        <v>8.99</v>
      </c>
      <c r="C7" s="9">
        <v>0.06</v>
      </c>
      <c r="D7" s="9">
        <f>C7/$C$9*$D$9</f>
        <v>0.2716981132075471</v>
      </c>
      <c r="E7" s="9">
        <f>(B7+D7)*'56'!$D$1</f>
        <v>279.33281509433965</v>
      </c>
      <c r="F7" s="39">
        <v>279</v>
      </c>
      <c r="G7" s="39">
        <f>-E7+F7</f>
        <v>-0.33281509433965084</v>
      </c>
    </row>
    <row r="8" spans="1:7" s="35" customFormat="1" ht="15">
      <c r="A8" s="9" t="s">
        <v>260</v>
      </c>
      <c r="B8" s="60">
        <v>13.03</v>
      </c>
      <c r="C8" s="11">
        <v>0.39</v>
      </c>
      <c r="D8" s="9">
        <f>C8/$C$9*$D$9</f>
        <v>1.7660377358490567</v>
      </c>
      <c r="E8" s="51"/>
      <c r="F8" s="52"/>
      <c r="G8" s="52"/>
    </row>
    <row r="9" spans="1:7" s="43" customFormat="1" ht="15">
      <c r="A9" s="41"/>
      <c r="B9" s="41"/>
      <c r="C9" s="41">
        <f>SUM(C4:C8)</f>
        <v>2.6500000000000004</v>
      </c>
      <c r="D9" s="41">
        <v>12</v>
      </c>
      <c r="E9" s="41"/>
      <c r="F9" s="41"/>
      <c r="G9" s="41"/>
    </row>
    <row r="12" ht="31.5">
      <c r="A12" s="49" t="s">
        <v>316</v>
      </c>
    </row>
    <row r="13" ht="31.5">
      <c r="A13" s="49" t="s">
        <v>313</v>
      </c>
    </row>
    <row r="14" ht="15">
      <c r="A14" s="38"/>
    </row>
    <row r="15" ht="15">
      <c r="A15" s="38"/>
    </row>
    <row r="16" ht="15">
      <c r="A16" s="38" t="s">
        <v>314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41340</v>
      </c>
      <c r="C1" s="31" t="s">
        <v>252</v>
      </c>
      <c r="D1" s="48">
        <v>30.77</v>
      </c>
      <c r="E1" s="28" t="s">
        <v>253</v>
      </c>
    </row>
    <row r="2" s="28" customFormat="1" ht="15">
      <c r="A2" s="46" t="s">
        <v>317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268</v>
      </c>
      <c r="B4" s="11">
        <v>15.32</v>
      </c>
      <c r="C4" s="11">
        <v>0.7</v>
      </c>
      <c r="D4" s="9">
        <f>C4/$C$8*$D$8</f>
        <v>3.099630996309963</v>
      </c>
      <c r="E4" s="9">
        <f>(B4+D4)*$D$1</f>
        <v>566.7720457564575</v>
      </c>
      <c r="F4" s="39">
        <v>570</v>
      </c>
      <c r="G4" s="39">
        <f>-E4+F4</f>
        <v>3.227954243542513</v>
      </c>
    </row>
    <row r="5" spans="1:7" s="35" customFormat="1" ht="15">
      <c r="A5" s="9" t="s">
        <v>264</v>
      </c>
      <c r="B5" s="40">
        <v>22.33</v>
      </c>
      <c r="C5" s="11">
        <v>0.73</v>
      </c>
      <c r="D5" s="9">
        <f>C5/$C$8*$D$8</f>
        <v>3.2324723247232474</v>
      </c>
      <c r="E5" s="9">
        <f>(B5+D5)*'55'!$D$1</f>
        <v>770.9641653136531</v>
      </c>
      <c r="F5" s="39">
        <v>771</v>
      </c>
      <c r="G5" s="39">
        <f>-E5+F5</f>
        <v>0.035834686346902345</v>
      </c>
    </row>
    <row r="6" spans="1:7" s="35" customFormat="1" ht="15">
      <c r="A6" s="9" t="s">
        <v>56</v>
      </c>
      <c r="B6" s="40">
        <v>36.81</v>
      </c>
      <c r="C6" s="40">
        <v>0.86</v>
      </c>
      <c r="D6" s="9">
        <f>C6/$C$8*$D$8</f>
        <v>3.8081180811808117</v>
      </c>
      <c r="E6" s="9">
        <f>(B6+D6)*'55'!$D$1</f>
        <v>1225.0424413284134</v>
      </c>
      <c r="F6" s="39">
        <v>1209</v>
      </c>
      <c r="G6" s="39">
        <f>-E6+F6</f>
        <v>-16.04244132841336</v>
      </c>
    </row>
    <row r="7" spans="1:7" s="35" customFormat="1" ht="15">
      <c r="A7" s="9" t="s">
        <v>65</v>
      </c>
      <c r="B7" s="54">
        <v>7.57</v>
      </c>
      <c r="C7" s="9">
        <v>0.42</v>
      </c>
      <c r="D7" s="9">
        <f>C7/$C$8*$D$8</f>
        <v>1.8597785977859775</v>
      </c>
      <c r="E7" s="9">
        <f>(B7+D7)*'56'!$D$1</f>
        <v>284.4021225092251</v>
      </c>
      <c r="F7" s="39"/>
      <c r="G7" s="39">
        <f>-E7+F7</f>
        <v>-284.4021225092251</v>
      </c>
    </row>
    <row r="8" spans="1:7" s="43" customFormat="1" ht="15">
      <c r="A8" s="41"/>
      <c r="B8" s="41"/>
      <c r="C8" s="41">
        <f>SUM(C4:C7)</f>
        <v>2.71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41340</v>
      </c>
      <c r="C1" s="31" t="s">
        <v>252</v>
      </c>
      <c r="D1" s="48">
        <v>30.77</v>
      </c>
      <c r="E1" s="28" t="s">
        <v>253</v>
      </c>
    </row>
    <row r="2" s="28" customFormat="1" ht="15">
      <c r="A2" s="46" t="s">
        <v>317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65</v>
      </c>
      <c r="B4" s="11">
        <v>9.36</v>
      </c>
      <c r="C4" s="11">
        <v>1.26</v>
      </c>
      <c r="D4" s="9">
        <f>C4/$C$8*$D$8</f>
        <v>5.770992366412213</v>
      </c>
      <c r="E4" s="9">
        <f>(B4+D4)*$D$1</f>
        <v>465.58063511450376</v>
      </c>
      <c r="F4" s="39"/>
      <c r="G4" s="39">
        <f>-E4+F4</f>
        <v>-465.58063511450376</v>
      </c>
    </row>
    <row r="5" spans="1:7" s="35" customFormat="1" ht="15">
      <c r="A5" s="9" t="s">
        <v>61</v>
      </c>
      <c r="B5" s="40">
        <v>68.56</v>
      </c>
      <c r="C5" s="11">
        <v>1.08</v>
      </c>
      <c r="D5" s="9">
        <f>C5/$C$8*$D$8</f>
        <v>4.9465648854961835</v>
      </c>
      <c r="E5" s="9">
        <f>(B5+D5)*'55'!$D$1</f>
        <v>2216.957996946565</v>
      </c>
      <c r="F5" s="39"/>
      <c r="G5" s="39">
        <f>-E5+F5</f>
        <v>-2216.957996946565</v>
      </c>
    </row>
    <row r="6" spans="1:7" s="35" customFormat="1" ht="15">
      <c r="A6" s="9" t="s">
        <v>69</v>
      </c>
      <c r="B6" s="54">
        <v>17.28</v>
      </c>
      <c r="C6" s="9">
        <v>0.14</v>
      </c>
      <c r="D6" s="9">
        <f>C6/$C$8*$D$8</f>
        <v>0.6412213740458016</v>
      </c>
      <c r="E6" s="9">
        <f>(B6+D6)*'56'!$D$1</f>
        <v>540.5040366412214</v>
      </c>
      <c r="F6" s="39">
        <v>541</v>
      </c>
      <c r="G6" s="39">
        <f>-E6+F6</f>
        <v>0.49596335877856745</v>
      </c>
    </row>
    <row r="7" spans="1:7" s="35" customFormat="1" ht="15">
      <c r="A7" s="9" t="s">
        <v>260</v>
      </c>
      <c r="B7" s="60">
        <v>3.84</v>
      </c>
      <c r="C7" s="11">
        <v>0.14</v>
      </c>
      <c r="D7" s="9">
        <f>C7/$C$8*$D$8</f>
        <v>0.6412213740458016</v>
      </c>
      <c r="E7" s="51"/>
      <c r="F7" s="52"/>
      <c r="G7" s="52"/>
    </row>
    <row r="8" spans="1:7" s="43" customFormat="1" ht="15">
      <c r="A8" s="41"/>
      <c r="B8" s="41"/>
      <c r="C8" s="41">
        <f>SUM(C4:C7)</f>
        <v>2.62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41340</v>
      </c>
      <c r="C1" s="31" t="s">
        <v>252</v>
      </c>
      <c r="D1" s="48">
        <v>30.77</v>
      </c>
      <c r="E1" s="28" t="s">
        <v>253</v>
      </c>
    </row>
    <row r="2" s="28" customFormat="1" ht="15">
      <c r="A2" s="46" t="s">
        <v>317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61</v>
      </c>
      <c r="B4" s="11">
        <v>53.96</v>
      </c>
      <c r="C4" s="11">
        <v>1.42</v>
      </c>
      <c r="D4" s="9">
        <f>C4/$C$7*$D$7</f>
        <v>6.287822878228782</v>
      </c>
      <c r="E4" s="9">
        <f>(B4+D4)*$D$1</f>
        <v>1853.8255099630996</v>
      </c>
      <c r="F4" s="39">
        <v>4080</v>
      </c>
      <c r="G4" s="39">
        <f>-E4+F4</f>
        <v>2226.1744900369004</v>
      </c>
    </row>
    <row r="5" spans="1:7" s="35" customFormat="1" ht="15">
      <c r="A5" s="9" t="s">
        <v>65</v>
      </c>
      <c r="B5" s="40">
        <v>15.45</v>
      </c>
      <c r="C5" s="11">
        <v>1.1</v>
      </c>
      <c r="D5" s="9">
        <f>C5/$C$7*$D$7</f>
        <v>4.8708487084870855</v>
      </c>
      <c r="E5" s="9">
        <f>(B5+D5)*'55'!$D$1</f>
        <v>612.8767970479704</v>
      </c>
      <c r="F5" s="39">
        <v>1365</v>
      </c>
      <c r="G5" s="39">
        <f>-E5+F5</f>
        <v>752.1232029520296</v>
      </c>
    </row>
    <row r="6" spans="1:7" s="35" customFormat="1" ht="15">
      <c r="A6" s="9" t="s">
        <v>260</v>
      </c>
      <c r="B6" s="60">
        <v>29.97</v>
      </c>
      <c r="C6" s="11">
        <v>0.19</v>
      </c>
      <c r="D6" s="9">
        <f>C6/$C$7*$D$7</f>
        <v>0.841328413284133</v>
      </c>
      <c r="E6" s="51"/>
      <c r="F6" s="52"/>
      <c r="G6" s="52"/>
    </row>
    <row r="7" spans="1:7" s="43" customFormat="1" ht="15">
      <c r="A7" s="41"/>
      <c r="B7" s="41"/>
      <c r="C7" s="41">
        <f>SUM(C4:C6)</f>
        <v>2.71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41343</v>
      </c>
      <c r="C1" s="31" t="s">
        <v>252</v>
      </c>
      <c r="D1" s="48">
        <v>30.76</v>
      </c>
      <c r="E1" s="28" t="s">
        <v>253</v>
      </c>
    </row>
    <row r="2" s="28" customFormat="1" ht="15">
      <c r="A2" s="46" t="s">
        <v>318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84</v>
      </c>
      <c r="B4" s="11">
        <v>18.6</v>
      </c>
      <c r="C4" s="11">
        <v>1.06</v>
      </c>
      <c r="D4" s="9">
        <f>C4/$C$6*$D$6</f>
        <v>4.676470588235294</v>
      </c>
      <c r="E4" s="9">
        <f>(B4+D4)*$D$1</f>
        <v>715.9842352941178</v>
      </c>
      <c r="F4" s="39"/>
      <c r="G4" s="39">
        <f>-E4+F4</f>
        <v>-715.9842352941178</v>
      </c>
    </row>
    <row r="5" spans="1:7" s="35" customFormat="1" ht="15">
      <c r="A5" s="9" t="s">
        <v>56</v>
      </c>
      <c r="B5" s="40">
        <v>61.65</v>
      </c>
      <c r="C5" s="11">
        <v>1.66</v>
      </c>
      <c r="D5" s="9">
        <f>C5/$C$6*$D$6</f>
        <v>7.323529411764705</v>
      </c>
      <c r="E5" s="9">
        <f>(B5+D5)*'55'!$D$1</f>
        <v>2080.241647058823</v>
      </c>
      <c r="F5" s="39">
        <v>2081</v>
      </c>
      <c r="G5" s="39">
        <f>-E5+F5</f>
        <v>0.7583529411767813</v>
      </c>
    </row>
    <row r="6" spans="1:7" s="43" customFormat="1" ht="15">
      <c r="A6" s="41"/>
      <c r="B6" s="41"/>
      <c r="C6" s="41">
        <v>2.72</v>
      </c>
      <c r="D6" s="41">
        <v>12</v>
      </c>
      <c r="E6" s="41"/>
      <c r="F6" s="41"/>
      <c r="G6" s="41"/>
    </row>
    <row r="9" ht="31.5">
      <c r="A9" s="49"/>
    </row>
    <row r="10" ht="31.5">
      <c r="A10" s="49"/>
    </row>
    <row r="11" ht="15">
      <c r="A11" s="38"/>
    </row>
    <row r="12" ht="15">
      <c r="A12" s="38"/>
    </row>
    <row r="13" ht="15">
      <c r="A13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41182</v>
      </c>
      <c r="C1" s="31" t="s">
        <v>252</v>
      </c>
      <c r="D1" s="32">
        <v>31.135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13" t="s">
        <v>264</v>
      </c>
      <c r="B4" s="9">
        <v>9.81</v>
      </c>
      <c r="C4" s="9">
        <v>0.57</v>
      </c>
      <c r="D4" s="9">
        <f>C4/$C$8*$D$8</f>
        <v>1.5079365079365075</v>
      </c>
      <c r="E4" s="9">
        <f>(B4+D4)*$D$1</f>
        <v>352.3839531746032</v>
      </c>
      <c r="F4" s="39">
        <v>357</v>
      </c>
      <c r="G4" s="39">
        <f>-E4+F4</f>
        <v>4.616046825396779</v>
      </c>
    </row>
    <row r="5" spans="1:7" s="35" customFormat="1" ht="15">
      <c r="A5" s="13" t="s">
        <v>207</v>
      </c>
      <c r="B5" s="9">
        <v>11.84</v>
      </c>
      <c r="C5" s="9">
        <v>0.11</v>
      </c>
      <c r="D5" s="9">
        <f>C5/$C$8*$D$8</f>
        <v>0.291005291005291</v>
      </c>
      <c r="E5" s="9">
        <f>(B5+D5)*$D$1</f>
        <v>377.69884973544976</v>
      </c>
      <c r="F5" s="39">
        <v>382</v>
      </c>
      <c r="G5" s="39">
        <f>-E5+F5</f>
        <v>4.301150264550245</v>
      </c>
    </row>
    <row r="6" spans="1:7" s="35" customFormat="1" ht="15">
      <c r="A6" s="13" t="s">
        <v>204</v>
      </c>
      <c r="B6" s="9">
        <v>40.47</v>
      </c>
      <c r="C6" s="9">
        <v>0.65</v>
      </c>
      <c r="D6" s="9">
        <f>C6/$C$8*$D$8</f>
        <v>1.7195767195767195</v>
      </c>
      <c r="E6" s="9">
        <f>(B6+D6)*$D$1</f>
        <v>1313.5724711640212</v>
      </c>
      <c r="F6" s="39">
        <v>1330</v>
      </c>
      <c r="G6" s="39">
        <f>-E6+F6</f>
        <v>16.42752883597882</v>
      </c>
    </row>
    <row r="7" spans="1:7" ht="15">
      <c r="A7" s="13" t="s">
        <v>238</v>
      </c>
      <c r="B7" s="9">
        <v>21.94</v>
      </c>
      <c r="C7" s="9">
        <v>0.56</v>
      </c>
      <c r="D7" s="9">
        <f>C7/$C$8*$D$8</f>
        <v>1.4814814814814814</v>
      </c>
      <c r="E7" s="9">
        <f>(B7+D7)*$D$1</f>
        <v>729.227825925926</v>
      </c>
      <c r="F7" s="39">
        <v>739</v>
      </c>
      <c r="G7" s="39">
        <f>-E7+F7</f>
        <v>9.772174074073973</v>
      </c>
    </row>
    <row r="8" spans="1:7" ht="15">
      <c r="A8" s="36"/>
      <c r="B8" s="36"/>
      <c r="C8" s="36">
        <f>SUM(C4:C7)</f>
        <v>1.8900000000000001</v>
      </c>
      <c r="D8" s="36">
        <v>5</v>
      </c>
      <c r="E8" s="36"/>
      <c r="F8" s="11"/>
      <c r="G8" s="11"/>
    </row>
    <row r="11" ht="15">
      <c r="A11" s="38" t="s">
        <v>261</v>
      </c>
    </row>
    <row r="12" ht="15">
      <c r="A12" s="38" t="s">
        <v>265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A12" sqref="A12:A1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41343</v>
      </c>
      <c r="C1" s="31" t="s">
        <v>252</v>
      </c>
      <c r="D1" s="48">
        <v>30.76</v>
      </c>
      <c r="E1" s="28" t="s">
        <v>253</v>
      </c>
    </row>
    <row r="2" s="28" customFormat="1" ht="15">
      <c r="A2" s="46" t="s">
        <v>318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84</v>
      </c>
      <c r="B4" s="11">
        <v>22.62</v>
      </c>
      <c r="C4" s="11">
        <v>1.55</v>
      </c>
      <c r="D4" s="9">
        <f>C4/$C$9*$D$9</f>
        <v>6.863468634686347</v>
      </c>
      <c r="E4" s="9">
        <f>(B4+D4)*$D$1</f>
        <v>906.9114952029521</v>
      </c>
      <c r="F4" s="39">
        <v>1636</v>
      </c>
      <c r="G4" s="39">
        <f>-E4+F4</f>
        <v>729.0885047970479</v>
      </c>
    </row>
    <row r="5" spans="1:7" s="35" customFormat="1" ht="15">
      <c r="A5" s="9" t="s">
        <v>319</v>
      </c>
      <c r="B5" s="40">
        <v>38.08</v>
      </c>
      <c r="C5" s="11">
        <v>0.25</v>
      </c>
      <c r="D5" s="9">
        <f>C5/$C$9*$D$9</f>
        <v>1.1070110701107012</v>
      </c>
      <c r="E5" s="9">
        <f>(B5+D5)*'55'!$D$1</f>
        <v>1181.8802538745388</v>
      </c>
      <c r="F5" s="39">
        <v>1489</v>
      </c>
      <c r="G5" s="39">
        <f>-E5+F5</f>
        <v>307.11974612546123</v>
      </c>
    </row>
    <row r="6" spans="1:7" s="35" customFormat="1" ht="15">
      <c r="A6" s="9" t="s">
        <v>65</v>
      </c>
      <c r="B6" s="40">
        <v>8.58</v>
      </c>
      <c r="C6" s="11">
        <v>0.35</v>
      </c>
      <c r="D6" s="9">
        <f>C6/$C$9*$D$9</f>
        <v>1.5498154981549814</v>
      </c>
      <c r="E6" s="9">
        <f>(B6+D6)*'55'!$D$1</f>
        <v>305.5152354243542</v>
      </c>
      <c r="F6" s="39">
        <v>306</v>
      </c>
      <c r="G6" s="39">
        <f>-E6+F6</f>
        <v>0.4847645756457837</v>
      </c>
    </row>
    <row r="7" spans="1:7" s="35" customFormat="1" ht="15">
      <c r="A7" s="9" t="s">
        <v>306</v>
      </c>
      <c r="B7" s="54">
        <v>6.8</v>
      </c>
      <c r="C7" s="9">
        <v>0.32</v>
      </c>
      <c r="D7" s="9">
        <f>C7/$C$9*$D$9</f>
        <v>1.4169741697416975</v>
      </c>
      <c r="E7" s="9">
        <f>(B7+D7)*'56'!$D$1</f>
        <v>247.82394095940958</v>
      </c>
      <c r="F7" s="39"/>
      <c r="G7" s="39">
        <f>-E7+F7</f>
        <v>-247.82394095940958</v>
      </c>
    </row>
    <row r="8" spans="1:7" s="35" customFormat="1" ht="15">
      <c r="A8" s="9" t="s">
        <v>260</v>
      </c>
      <c r="B8" s="60">
        <v>3.81</v>
      </c>
      <c r="C8" s="11">
        <v>0.24</v>
      </c>
      <c r="D8" s="9">
        <f>C8/$C$9*$D$9</f>
        <v>1.0627306273062729</v>
      </c>
      <c r="E8" s="51"/>
      <c r="F8" s="52"/>
      <c r="G8" s="52"/>
    </row>
    <row r="9" spans="1:7" s="43" customFormat="1" ht="15">
      <c r="A9" s="41"/>
      <c r="B9" s="41"/>
      <c r="C9" s="41">
        <f>SUM(C4:C8)</f>
        <v>2.71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41343</v>
      </c>
      <c r="C1" s="31" t="s">
        <v>252</v>
      </c>
      <c r="D1" s="48">
        <v>30.83</v>
      </c>
      <c r="E1" s="28" t="s">
        <v>253</v>
      </c>
    </row>
    <row r="2" s="28" customFormat="1" ht="15">
      <c r="A2" s="46" t="s">
        <v>318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306</v>
      </c>
      <c r="B4" s="11">
        <v>15.33</v>
      </c>
      <c r="C4" s="11">
        <v>0.45</v>
      </c>
      <c r="D4" s="9">
        <f>C4/$C$8*$D$8</f>
        <v>2</v>
      </c>
      <c r="E4" s="9">
        <f>(B4+D4)*$D$1</f>
        <v>534.2838999999999</v>
      </c>
      <c r="F4" s="39">
        <v>786</v>
      </c>
      <c r="G4" s="39">
        <f>-E4+F4</f>
        <v>251.7161000000001</v>
      </c>
    </row>
    <row r="5" spans="1:7" s="35" customFormat="1" ht="15">
      <c r="A5" s="9" t="s">
        <v>220</v>
      </c>
      <c r="B5" s="40">
        <v>21.81</v>
      </c>
      <c r="C5" s="11">
        <v>1.35</v>
      </c>
      <c r="D5" s="9">
        <f>C5/$C$8*$D$8</f>
        <v>6</v>
      </c>
      <c r="E5" s="9">
        <f>(B5+D5)*'55'!$D$1</f>
        <v>838.7496</v>
      </c>
      <c r="F5" s="39">
        <v>837</v>
      </c>
      <c r="G5" s="39">
        <f>-E5+F5</f>
        <v>-1.7495999999999867</v>
      </c>
    </row>
    <row r="6" spans="1:7" s="35" customFormat="1" ht="15">
      <c r="A6" s="9" t="s">
        <v>69</v>
      </c>
      <c r="B6" s="40">
        <v>10</v>
      </c>
      <c r="C6" s="11">
        <v>0.05</v>
      </c>
      <c r="D6" s="9">
        <f>C6/$C$8*$D$8</f>
        <v>0.2222222222222222</v>
      </c>
      <c r="E6" s="9">
        <f>(B6+D6)*'55'!$D$1</f>
        <v>308.3022222222222</v>
      </c>
      <c r="F6" s="39"/>
      <c r="G6" s="39">
        <f>-E6+F6</f>
        <v>-308.3022222222222</v>
      </c>
    </row>
    <row r="7" spans="1:7" s="35" customFormat="1" ht="15">
      <c r="A7" s="9" t="s">
        <v>14</v>
      </c>
      <c r="B7" s="54">
        <v>21.01</v>
      </c>
      <c r="C7" s="9">
        <v>0.85</v>
      </c>
      <c r="D7" s="9">
        <f>C7/$C$8*$D$8</f>
        <v>3.7777777777777772</v>
      </c>
      <c r="E7" s="9">
        <f>(B7+D7)*'56'!$D$1</f>
        <v>747.5993777777778</v>
      </c>
      <c r="F7" s="39">
        <v>748</v>
      </c>
      <c r="G7" s="39">
        <f>-E7+F7</f>
        <v>0.40062222222218224</v>
      </c>
    </row>
    <row r="8" spans="1:7" s="43" customFormat="1" ht="15">
      <c r="A8" s="41"/>
      <c r="B8" s="41"/>
      <c r="C8" s="41">
        <f>SUM(C4:C7)</f>
        <v>2.7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41351</v>
      </c>
      <c r="C1" s="31" t="s">
        <v>252</v>
      </c>
      <c r="D1" s="48">
        <v>30.83</v>
      </c>
      <c r="E1" s="28" t="s">
        <v>253</v>
      </c>
    </row>
    <row r="2" s="28" customFormat="1" ht="15">
      <c r="A2" s="46" t="s">
        <v>320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69</v>
      </c>
      <c r="B4" s="11">
        <v>41.78</v>
      </c>
      <c r="C4" s="11">
        <v>1.65</v>
      </c>
      <c r="D4" s="9">
        <f>C4/$C$9*$D$9</f>
        <v>7.3605947955390345</v>
      </c>
      <c r="E4" s="9">
        <f>(B4+D4)*$D$1</f>
        <v>1515.0045375464683</v>
      </c>
      <c r="F4" s="39">
        <v>1527</v>
      </c>
      <c r="G4" s="39">
        <f>-E4+F4</f>
        <v>11.995462453531673</v>
      </c>
    </row>
    <row r="5" spans="1:7" s="35" customFormat="1" ht="15">
      <c r="A5" s="9" t="s">
        <v>288</v>
      </c>
      <c r="B5" s="40">
        <v>8.28</v>
      </c>
      <c r="C5" s="11">
        <v>0.4</v>
      </c>
      <c r="D5" s="9">
        <f>C5/$C$9*$D$9</f>
        <v>1.7843866171003722</v>
      </c>
      <c r="E5" s="9">
        <f>(B5+D5)*'55'!$D$1</f>
        <v>303.5419003717472</v>
      </c>
      <c r="F5" s="39">
        <v>282</v>
      </c>
      <c r="G5" s="39">
        <f>-E5+F5</f>
        <v>-21.541900371747204</v>
      </c>
    </row>
    <row r="6" spans="1:7" s="35" customFormat="1" ht="15">
      <c r="A6" s="9" t="s">
        <v>21</v>
      </c>
      <c r="B6" s="40">
        <v>6.59</v>
      </c>
      <c r="C6" s="11">
        <v>0.13</v>
      </c>
      <c r="D6" s="9">
        <f>C6/$C$9*$D$9</f>
        <v>0.5799256505576209</v>
      </c>
      <c r="E6" s="9">
        <f>(B6+D6)*'55'!$D$1</f>
        <v>216.24495762081784</v>
      </c>
      <c r="F6" s="39">
        <v>216</v>
      </c>
      <c r="G6" s="39">
        <f>-E6+F6</f>
        <v>-0.24495762081784278</v>
      </c>
    </row>
    <row r="7" spans="1:8" s="35" customFormat="1" ht="75">
      <c r="A7" s="9" t="s">
        <v>220</v>
      </c>
      <c r="B7" s="54">
        <v>16.37</v>
      </c>
      <c r="C7" s="9">
        <v>0.19</v>
      </c>
      <c r="D7" s="9">
        <f>C7/$C$9*$D$9</f>
        <v>0.8475836431226769</v>
      </c>
      <c r="E7" s="9">
        <f>(B7+D7)*'56'!$D$1</f>
        <v>519.28232267658</v>
      </c>
      <c r="F7" s="39">
        <f>519+117</f>
        <v>636</v>
      </c>
      <c r="G7" s="39">
        <f>-E7+F7</f>
        <v>116.71767732342005</v>
      </c>
      <c r="H7" s="42" t="s">
        <v>321</v>
      </c>
    </row>
    <row r="8" spans="1:7" s="35" customFormat="1" ht="15">
      <c r="A8" s="9" t="s">
        <v>260</v>
      </c>
      <c r="B8" s="60">
        <v>11.95</v>
      </c>
      <c r="C8" s="11">
        <v>0.32</v>
      </c>
      <c r="D8" s="9">
        <f>C8/$C$9*$D$9</f>
        <v>1.4275092936802976</v>
      </c>
      <c r="E8" s="51"/>
      <c r="F8" s="52"/>
      <c r="G8" s="52"/>
    </row>
    <row r="9" spans="1:7" s="43" customFormat="1" ht="15">
      <c r="A9" s="41"/>
      <c r="B9" s="41"/>
      <c r="C9" s="41">
        <f>SUM(C4:C8)</f>
        <v>2.6899999999999995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41354</v>
      </c>
      <c r="C1" s="31" t="s">
        <v>252</v>
      </c>
      <c r="D1" s="48">
        <v>30.94</v>
      </c>
      <c r="E1" s="28" t="s">
        <v>253</v>
      </c>
    </row>
    <row r="2" s="28" customFormat="1" ht="15">
      <c r="A2" s="46" t="s">
        <v>322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323</v>
      </c>
      <c r="B4" s="11">
        <v>20.4</v>
      </c>
      <c r="C4" s="11">
        <v>0.11</v>
      </c>
      <c r="D4" s="9">
        <f>C4/$C$7*$D$7</f>
        <v>0.4943820224719101</v>
      </c>
      <c r="E4" s="9">
        <f>(B4+D4)*$D$1</f>
        <v>646.4721797752809</v>
      </c>
      <c r="F4" s="39">
        <v>652</v>
      </c>
      <c r="G4" s="39">
        <f>-E4+F4</f>
        <v>5.5278202247191075</v>
      </c>
    </row>
    <row r="5" spans="1:7" s="35" customFormat="1" ht="15">
      <c r="A5" s="9" t="s">
        <v>94</v>
      </c>
      <c r="B5" s="54">
        <v>3.4</v>
      </c>
      <c r="C5" s="9">
        <v>0.11</v>
      </c>
      <c r="D5" s="9">
        <f>C5/$C$7*$D$7</f>
        <v>0.4943820224719101</v>
      </c>
      <c r="E5" s="9">
        <f>(B5+D5)*'56'!$D$1</f>
        <v>117.4545617977528</v>
      </c>
      <c r="F5" s="39">
        <v>117</v>
      </c>
      <c r="G5" s="39">
        <f>-E5+F5</f>
        <v>-0.4545617977528025</v>
      </c>
    </row>
    <row r="6" spans="1:7" s="35" customFormat="1" ht="15">
      <c r="A6" s="9" t="s">
        <v>260</v>
      </c>
      <c r="B6" s="60">
        <v>32.12</v>
      </c>
      <c r="C6" s="11">
        <v>2.45</v>
      </c>
      <c r="D6" s="9">
        <f>C6/$C$7*$D$7</f>
        <v>11.01123595505618</v>
      </c>
      <c r="E6" s="51"/>
      <c r="F6" s="52"/>
      <c r="G6" s="52"/>
    </row>
    <row r="7" spans="1:7" s="43" customFormat="1" ht="15">
      <c r="A7" s="41"/>
      <c r="B7" s="41"/>
      <c r="C7" s="41">
        <f>SUM(C4:C6)</f>
        <v>2.6700000000000004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41361</v>
      </c>
      <c r="C1" s="31" t="s">
        <v>252</v>
      </c>
      <c r="D1" s="48">
        <v>31</v>
      </c>
      <c r="E1" s="28" t="s">
        <v>253</v>
      </c>
    </row>
    <row r="2" s="28" customFormat="1" ht="15">
      <c r="A2" s="46" t="s">
        <v>324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188</v>
      </c>
      <c r="B4" s="11">
        <v>24.29</v>
      </c>
      <c r="C4" s="11">
        <v>0.94</v>
      </c>
      <c r="D4" s="9">
        <f>C4/$C$7*$D$7</f>
        <v>4.224719101123595</v>
      </c>
      <c r="E4" s="9">
        <f>(B4+D4)*$D$1</f>
        <v>883.9562921348315</v>
      </c>
      <c r="F4" s="39">
        <v>883</v>
      </c>
      <c r="G4" s="39">
        <f>-E4+F4</f>
        <v>-0.9562921348315285</v>
      </c>
    </row>
    <row r="5" spans="1:7" s="35" customFormat="1" ht="15">
      <c r="A5" s="9" t="s">
        <v>41</v>
      </c>
      <c r="B5" s="40">
        <v>9.36</v>
      </c>
      <c r="C5" s="11">
        <v>0.48</v>
      </c>
      <c r="D5" s="9">
        <f>C5/$C$7*$D$7</f>
        <v>2.157303370786517</v>
      </c>
      <c r="E5" s="9">
        <f>(B5+D5)*'55'!$D$1</f>
        <v>347.3618696629213</v>
      </c>
      <c r="F5" s="39">
        <v>347</v>
      </c>
      <c r="G5" s="39">
        <f>-E5+F5</f>
        <v>-0.36186966292132183</v>
      </c>
    </row>
    <row r="6" spans="1:7" s="35" customFormat="1" ht="15">
      <c r="A6" s="9" t="s">
        <v>78</v>
      </c>
      <c r="B6" s="40">
        <v>49.22</v>
      </c>
      <c r="C6" s="11">
        <v>1.25</v>
      </c>
      <c r="D6" s="9">
        <f>C6/$C$7*$D$7</f>
        <v>5.617977528089888</v>
      </c>
      <c r="E6" s="9">
        <f>(B6+D6)*'55'!$D$1</f>
        <v>1653.913402247191</v>
      </c>
      <c r="F6" s="39"/>
      <c r="G6" s="39">
        <f>-E6+F6</f>
        <v>-1653.913402247191</v>
      </c>
    </row>
    <row r="7" spans="1:7" s="43" customFormat="1" ht="15">
      <c r="A7" s="41"/>
      <c r="B7" s="41"/>
      <c r="C7" s="41">
        <f>SUM(C4:C6)</f>
        <v>2.67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41361</v>
      </c>
      <c r="C1" s="31" t="s">
        <v>252</v>
      </c>
      <c r="D1" s="48">
        <v>31</v>
      </c>
      <c r="E1" s="28" t="s">
        <v>253</v>
      </c>
    </row>
    <row r="2" s="28" customFormat="1" ht="15">
      <c r="A2" s="46" t="s">
        <v>324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56</v>
      </c>
      <c r="B4" s="11">
        <v>27.96</v>
      </c>
      <c r="C4" s="11">
        <v>1.35</v>
      </c>
      <c r="D4" s="9">
        <f>C4/$C$7*$D$7</f>
        <v>6.067415730337078</v>
      </c>
      <c r="E4" s="9">
        <f>(B4+D4)*$D$1</f>
        <v>1054.8498876404497</v>
      </c>
      <c r="F4" s="39">
        <f>1000+61</f>
        <v>1061</v>
      </c>
      <c r="G4" s="39">
        <f>-E4+F4</f>
        <v>6.150112359550349</v>
      </c>
    </row>
    <row r="5" spans="1:7" s="35" customFormat="1" ht="15">
      <c r="A5" s="9" t="s">
        <v>78</v>
      </c>
      <c r="B5" s="40">
        <v>49.12</v>
      </c>
      <c r="C5" s="11">
        <v>0.67</v>
      </c>
      <c r="D5" s="9">
        <f>C5/$C$7*$D$7</f>
        <v>3.01123595505618</v>
      </c>
      <c r="E5" s="9">
        <f>(B5+D5)*'55'!$D$1</f>
        <v>1572.2780764044942</v>
      </c>
      <c r="F5" s="39">
        <v>3227</v>
      </c>
      <c r="G5" s="39">
        <f>-E5+F5</f>
        <v>1654.7219235955058</v>
      </c>
    </row>
    <row r="6" spans="1:7" s="35" customFormat="1" ht="15">
      <c r="A6" s="9" t="s">
        <v>260</v>
      </c>
      <c r="B6" s="60">
        <v>10.59</v>
      </c>
      <c r="C6" s="11">
        <v>0.65</v>
      </c>
      <c r="D6" s="9">
        <f>C6/$C$7*$D$7</f>
        <v>2.9213483146067416</v>
      </c>
      <c r="E6" s="51"/>
      <c r="F6" s="52"/>
      <c r="G6" s="52"/>
    </row>
    <row r="7" spans="1:7" s="43" customFormat="1" ht="15">
      <c r="A7" s="41"/>
      <c r="B7" s="41"/>
      <c r="C7" s="41">
        <f>SUM(C4:C6)</f>
        <v>2.67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41361</v>
      </c>
      <c r="C1" s="31" t="s">
        <v>252</v>
      </c>
      <c r="D1" s="48">
        <v>31</v>
      </c>
      <c r="E1" s="28" t="s">
        <v>253</v>
      </c>
    </row>
    <row r="2" s="28" customFormat="1" ht="15">
      <c r="A2" s="46" t="s">
        <v>324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204</v>
      </c>
      <c r="B4" s="11">
        <v>4.95</v>
      </c>
      <c r="C4" s="11">
        <v>0.21</v>
      </c>
      <c r="D4" s="9">
        <f>C4/$C$8*$D$8</f>
        <v>0.9368029739776952</v>
      </c>
      <c r="E4" s="9">
        <f>(B4+D4)*$D$1</f>
        <v>182.49089219330855</v>
      </c>
      <c r="F4" s="39">
        <v>150</v>
      </c>
      <c r="G4" s="39">
        <f>-E4+F4</f>
        <v>-32.490892193308554</v>
      </c>
    </row>
    <row r="5" spans="1:7" s="35" customFormat="1" ht="15">
      <c r="A5" s="9" t="s">
        <v>233</v>
      </c>
      <c r="B5" s="40">
        <v>14.99</v>
      </c>
      <c r="C5" s="11">
        <v>0.23</v>
      </c>
      <c r="D5" s="9">
        <f>C5/$C$8*$D$8</f>
        <v>1.026022304832714</v>
      </c>
      <c r="E5" s="9">
        <f>(B5+D5)*'55'!$D$1</f>
        <v>483.04323271375466</v>
      </c>
      <c r="F5" s="39">
        <v>483</v>
      </c>
      <c r="G5" s="39">
        <f>-E5+F5</f>
        <v>-0.0432327137546622</v>
      </c>
    </row>
    <row r="6" spans="1:7" s="35" customFormat="1" ht="15">
      <c r="A6" s="9" t="s">
        <v>69</v>
      </c>
      <c r="B6" s="40">
        <v>50.64</v>
      </c>
      <c r="C6" s="11">
        <v>2.06</v>
      </c>
      <c r="D6" s="9">
        <f>C6/$C$8*$D$8</f>
        <v>9.189591078066915</v>
      </c>
      <c r="E6" s="9">
        <f>(B6+D6)*'55'!$D$1</f>
        <v>1804.460466914498</v>
      </c>
      <c r="F6" s="39">
        <v>1805</v>
      </c>
      <c r="G6" s="39">
        <f>-E6+F6</f>
        <v>0.5395330855019438</v>
      </c>
    </row>
    <row r="7" spans="1:7" s="35" customFormat="1" ht="15">
      <c r="A7" s="9" t="s">
        <v>260</v>
      </c>
      <c r="B7" s="60">
        <v>14.49</v>
      </c>
      <c r="C7" s="11">
        <v>0.19</v>
      </c>
      <c r="D7" s="9">
        <f>C7/$C$8*$D$8</f>
        <v>0.8475836431226766</v>
      </c>
      <c r="E7" s="51"/>
      <c r="F7" s="52"/>
      <c r="G7" s="52"/>
    </row>
    <row r="8" spans="1:7" s="43" customFormat="1" ht="15">
      <c r="A8" s="41"/>
      <c r="B8" s="41"/>
      <c r="C8" s="41">
        <v>2.69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10"/>
  </sheetPr>
  <dimension ref="A1:G19"/>
  <sheetViews>
    <sheetView zoomScalePageLayoutView="0" workbookViewId="0" topLeftCell="A1">
      <selection activeCell="A15" sqref="A15:A19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41368</v>
      </c>
      <c r="C1" s="31" t="s">
        <v>252</v>
      </c>
      <c r="D1" s="48">
        <v>31</v>
      </c>
      <c r="E1" s="28" t="s">
        <v>253</v>
      </c>
    </row>
    <row r="2" s="28" customFormat="1" ht="15">
      <c r="A2" s="46" t="s">
        <v>325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78</v>
      </c>
      <c r="B4" s="11">
        <v>19.26</v>
      </c>
      <c r="C4" s="11">
        <v>0.14</v>
      </c>
      <c r="D4" s="9">
        <f aca="true" t="shared" si="0" ref="D4:D11">C4/$C$12*$D$12</f>
        <v>0.6222222222222222</v>
      </c>
      <c r="E4" s="9">
        <f>(B4+D4)*$D$1</f>
        <v>616.348888888889</v>
      </c>
      <c r="F4" s="39">
        <v>616</v>
      </c>
      <c r="G4" s="39">
        <f aca="true" t="shared" si="1" ref="G4:G10">-E4+F4</f>
        <v>-0.34888888888895053</v>
      </c>
    </row>
    <row r="5" spans="1:7" s="35" customFormat="1" ht="15">
      <c r="A5" s="9" t="s">
        <v>154</v>
      </c>
      <c r="B5" s="40">
        <v>8.74</v>
      </c>
      <c r="C5" s="11">
        <v>0.16</v>
      </c>
      <c r="D5" s="9">
        <f t="shared" si="0"/>
        <v>0.711111111111111</v>
      </c>
      <c r="E5" s="9">
        <f>(B5+D5)*'55'!$D$1</f>
        <v>285.04551111111107</v>
      </c>
      <c r="F5" s="39">
        <v>285</v>
      </c>
      <c r="G5" s="39">
        <f t="shared" si="1"/>
        <v>-0.0455111111110682</v>
      </c>
    </row>
    <row r="6" spans="1:7" s="35" customFormat="1" ht="15">
      <c r="A6" s="9" t="s">
        <v>15</v>
      </c>
      <c r="B6" s="40">
        <v>14.7</v>
      </c>
      <c r="C6" s="11">
        <v>0.11</v>
      </c>
      <c r="D6" s="9">
        <f t="shared" si="0"/>
        <v>0.4888888888888888</v>
      </c>
      <c r="E6" s="9">
        <f>(B6+D6)*'55'!$D$1</f>
        <v>458.0968888888889</v>
      </c>
      <c r="F6" s="39">
        <v>458</v>
      </c>
      <c r="G6" s="39">
        <f t="shared" si="1"/>
        <v>-0.09688888888888414</v>
      </c>
    </row>
    <row r="7" spans="1:7" s="35" customFormat="1" ht="15">
      <c r="A7" s="9" t="s">
        <v>150</v>
      </c>
      <c r="B7" s="40">
        <v>9.95</v>
      </c>
      <c r="C7" s="11">
        <v>0.1</v>
      </c>
      <c r="D7" s="9">
        <f t="shared" si="0"/>
        <v>0.4444444444444444</v>
      </c>
      <c r="E7" s="9">
        <f>(B7+D7)*'55'!$D$1</f>
        <v>313.4964444444444</v>
      </c>
      <c r="F7" s="39">
        <v>313</v>
      </c>
      <c r="G7" s="39">
        <f t="shared" si="1"/>
        <v>-0.49644444444442115</v>
      </c>
    </row>
    <row r="8" spans="1:7" s="35" customFormat="1" ht="15">
      <c r="A8" s="9" t="s">
        <v>326</v>
      </c>
      <c r="B8" s="40">
        <v>13.04</v>
      </c>
      <c r="C8" s="11">
        <v>1.02</v>
      </c>
      <c r="D8" s="9">
        <f t="shared" si="0"/>
        <v>4.533333333333333</v>
      </c>
      <c r="E8" s="9">
        <f>(B8+D8)*'55'!$D$1</f>
        <v>530.0117333333333</v>
      </c>
      <c r="F8" s="39">
        <v>530</v>
      </c>
      <c r="G8" s="39">
        <f t="shared" si="1"/>
        <v>-0.011733333333268092</v>
      </c>
    </row>
    <row r="9" spans="1:7" s="35" customFormat="1" ht="15">
      <c r="A9" s="9" t="s">
        <v>188</v>
      </c>
      <c r="B9" s="40">
        <v>4.96</v>
      </c>
      <c r="C9" s="11">
        <v>0.11</v>
      </c>
      <c r="D9" s="9">
        <f t="shared" si="0"/>
        <v>0.4888888888888888</v>
      </c>
      <c r="E9" s="9">
        <f>(B9+D9)*'55'!$D$1</f>
        <v>164.3384888888889</v>
      </c>
      <c r="F9" s="39">
        <v>164</v>
      </c>
      <c r="G9" s="39">
        <f t="shared" si="1"/>
        <v>-0.3384888888888895</v>
      </c>
    </row>
    <row r="10" spans="1:7" s="35" customFormat="1" ht="15">
      <c r="A10" s="9" t="s">
        <v>183</v>
      </c>
      <c r="B10" s="40">
        <v>7.04</v>
      </c>
      <c r="C10" s="11">
        <v>0.22</v>
      </c>
      <c r="D10" s="9">
        <f t="shared" si="0"/>
        <v>0.9777777777777776</v>
      </c>
      <c r="E10" s="9">
        <f>(B10+D10)*'55'!$D$1</f>
        <v>241.81617777777777</v>
      </c>
      <c r="F10" s="39">
        <v>242</v>
      </c>
      <c r="G10" s="39">
        <f t="shared" si="1"/>
        <v>0.18382222222223277</v>
      </c>
    </row>
    <row r="11" spans="1:7" s="35" customFormat="1" ht="15">
      <c r="A11" s="9" t="s">
        <v>260</v>
      </c>
      <c r="B11" s="60">
        <v>10.3</v>
      </c>
      <c r="C11" s="11">
        <v>0.84</v>
      </c>
      <c r="D11" s="9">
        <f t="shared" si="0"/>
        <v>3.7333333333333325</v>
      </c>
      <c r="E11" s="51"/>
      <c r="F11" s="52"/>
      <c r="G11" s="52"/>
    </row>
    <row r="12" spans="1:7" s="43" customFormat="1" ht="15">
      <c r="A12" s="41"/>
      <c r="B12" s="41"/>
      <c r="C12" s="41">
        <f>SUM(C4:C11)</f>
        <v>2.7</v>
      </c>
      <c r="D12" s="41">
        <v>12</v>
      </c>
      <c r="E12" s="41"/>
      <c r="F12" s="41"/>
      <c r="G12" s="41"/>
    </row>
    <row r="15" ht="31.5">
      <c r="A15" s="49"/>
    </row>
    <row r="16" ht="31.5">
      <c r="A16" s="49"/>
    </row>
    <row r="17" ht="15">
      <c r="A17" s="38"/>
    </row>
    <row r="18" ht="15">
      <c r="A18" s="38"/>
    </row>
    <row r="19" ht="15">
      <c r="A19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41373</v>
      </c>
      <c r="C1" s="31" t="s">
        <v>252</v>
      </c>
      <c r="D1" s="48">
        <v>31.21</v>
      </c>
      <c r="E1" s="28" t="s">
        <v>253</v>
      </c>
    </row>
    <row r="2" s="28" customFormat="1" ht="15">
      <c r="A2" s="46" t="s">
        <v>327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326</v>
      </c>
      <c r="B4" s="11">
        <v>5.74</v>
      </c>
      <c r="C4" s="11">
        <v>0.35</v>
      </c>
      <c r="D4" s="9">
        <f>C4/$C$8*$D$8</f>
        <v>1.5555555555555554</v>
      </c>
      <c r="E4" s="9">
        <f>(B4+D4)*$D$1</f>
        <v>227.6942888888889</v>
      </c>
      <c r="F4" s="39">
        <v>233</v>
      </c>
      <c r="G4" s="39">
        <f>-E4+F4</f>
        <v>5.305711111111094</v>
      </c>
    </row>
    <row r="5" spans="1:7" s="35" customFormat="1" ht="15">
      <c r="A5" s="9" t="s">
        <v>230</v>
      </c>
      <c r="B5" s="11">
        <v>22.01</v>
      </c>
      <c r="C5" s="11">
        <v>0.11</v>
      </c>
      <c r="D5" s="9">
        <f>C5/$C$8*$D$8</f>
        <v>0.4888888888888888</v>
      </c>
      <c r="E5" s="9">
        <f>(B5+D5)*'55'!$D$1</f>
        <v>678.5664888888889</v>
      </c>
      <c r="F5" s="39">
        <v>669</v>
      </c>
      <c r="G5" s="39">
        <f>-E5+F5</f>
        <v>-9.566488888888898</v>
      </c>
    </row>
    <row r="6" spans="1:7" s="35" customFormat="1" ht="15">
      <c r="A6" s="9" t="s">
        <v>84</v>
      </c>
      <c r="B6" s="40">
        <v>42.18</v>
      </c>
      <c r="C6" s="11">
        <v>1.98</v>
      </c>
      <c r="D6" s="9">
        <f>C6/$C$8*$D$8</f>
        <v>8.799999999999999</v>
      </c>
      <c r="E6" s="9">
        <f>(B6+D6)*'55'!$D$1</f>
        <v>1537.5567999999998</v>
      </c>
      <c r="F6" s="39">
        <v>2323</v>
      </c>
      <c r="G6" s="39">
        <f>-E6+F6</f>
        <v>785.4432000000002</v>
      </c>
    </row>
    <row r="7" spans="1:7" s="35" customFormat="1" ht="15">
      <c r="A7" s="9" t="s">
        <v>260</v>
      </c>
      <c r="B7" s="60">
        <v>11.6</v>
      </c>
      <c r="C7" s="11">
        <v>0.26</v>
      </c>
      <c r="D7" s="9">
        <f>C7/$C$8*$D$8</f>
        <v>1.1555555555555554</v>
      </c>
      <c r="E7" s="51"/>
      <c r="F7" s="52"/>
      <c r="G7" s="52"/>
    </row>
    <row r="8" spans="1:7" s="43" customFormat="1" ht="15">
      <c r="A8" s="41"/>
      <c r="B8" s="41"/>
      <c r="C8" s="41">
        <f>SUM(C4:C7)</f>
        <v>2.7</v>
      </c>
      <c r="D8" s="41">
        <v>12</v>
      </c>
      <c r="E8" s="41"/>
      <c r="F8" s="41"/>
      <c r="G8" s="41"/>
    </row>
    <row r="11" ht="31.5">
      <c r="A11" s="49" t="s">
        <v>328</v>
      </c>
    </row>
    <row r="12" ht="31.5">
      <c r="A12" s="49" t="s">
        <v>313</v>
      </c>
    </row>
    <row r="13" ht="15">
      <c r="A13" s="38"/>
    </row>
    <row r="14" ht="15">
      <c r="A14" s="38"/>
    </row>
    <row r="15" ht="15">
      <c r="A15" s="38" t="s">
        <v>314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41373</v>
      </c>
      <c r="C1" s="31" t="s">
        <v>252</v>
      </c>
      <c r="D1" s="48">
        <v>31.21</v>
      </c>
      <c r="E1" s="28" t="s">
        <v>253</v>
      </c>
    </row>
    <row r="2" s="28" customFormat="1" ht="15">
      <c r="A2" s="46" t="s">
        <v>327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22</v>
      </c>
      <c r="B4" s="11">
        <v>7.29</v>
      </c>
      <c r="C4" s="11">
        <v>0.54</v>
      </c>
      <c r="D4" s="9">
        <f>C4/$C$9*$D$9</f>
        <v>2.4000000000000004</v>
      </c>
      <c r="E4" s="9">
        <f>(B4+D4)*$D$1</f>
        <v>302.42490000000004</v>
      </c>
      <c r="F4" s="39">
        <v>313</v>
      </c>
      <c r="G4" s="39">
        <f>-E4+F4</f>
        <v>10.575099999999964</v>
      </c>
    </row>
    <row r="5" spans="1:7" s="35" customFormat="1" ht="15">
      <c r="A5" s="9" t="s">
        <v>154</v>
      </c>
      <c r="B5" s="40">
        <v>34.79</v>
      </c>
      <c r="C5" s="11">
        <v>0.41</v>
      </c>
      <c r="D5" s="9">
        <f>C5/$C$9*$D$9</f>
        <v>1.822222222222222</v>
      </c>
      <c r="E5" s="9">
        <f>(B5+D5)*'55'!$D$1</f>
        <v>1104.2246222222223</v>
      </c>
      <c r="F5" s="39">
        <v>1400</v>
      </c>
      <c r="G5" s="39">
        <f>-E5+F5</f>
        <v>295.77537777777775</v>
      </c>
    </row>
    <row r="6" spans="1:7" s="35" customFormat="1" ht="15">
      <c r="A6" s="9" t="s">
        <v>233</v>
      </c>
      <c r="B6" s="40">
        <v>13.93</v>
      </c>
      <c r="C6" s="11">
        <v>0.34</v>
      </c>
      <c r="D6" s="9">
        <f>C6/$C$9*$D$9</f>
        <v>1.511111111111111</v>
      </c>
      <c r="E6" s="9">
        <f>(B6+D6)*'55'!$D$1</f>
        <v>465.7039111111111</v>
      </c>
      <c r="F6" s="39">
        <v>460</v>
      </c>
      <c r="G6" s="39">
        <f>-E6+F6</f>
        <v>-5.703911111111097</v>
      </c>
    </row>
    <row r="7" spans="1:7" s="35" customFormat="1" ht="15">
      <c r="A7" s="9" t="s">
        <v>84</v>
      </c>
      <c r="B7" s="40">
        <v>22.65</v>
      </c>
      <c r="C7" s="11">
        <v>0.89</v>
      </c>
      <c r="D7" s="9">
        <f>C7/$C$9*$D$9</f>
        <v>3.9555555555555553</v>
      </c>
      <c r="E7" s="9">
        <f>(B7+D7)*'55'!$D$1</f>
        <v>802.4235555555555</v>
      </c>
      <c r="F7" s="39"/>
      <c r="G7" s="39">
        <f>-E7+F7</f>
        <v>-802.4235555555555</v>
      </c>
    </row>
    <row r="8" spans="1:7" s="35" customFormat="1" ht="15">
      <c r="A8" s="9" t="s">
        <v>65</v>
      </c>
      <c r="B8" s="11">
        <v>14.39</v>
      </c>
      <c r="C8" s="11">
        <v>0.52</v>
      </c>
      <c r="D8" s="9">
        <f>C8/$C$9*$D$9</f>
        <v>2.311111111111111</v>
      </c>
      <c r="E8" s="9">
        <f>(B8+D8)*'55'!$D$1</f>
        <v>503.7055111111111</v>
      </c>
      <c r="F8" s="39">
        <v>498</v>
      </c>
      <c r="G8" s="39">
        <f>-E8+F8</f>
        <v>-5.705511111111093</v>
      </c>
    </row>
    <row r="9" spans="1:7" s="43" customFormat="1" ht="15">
      <c r="A9" s="41"/>
      <c r="B9" s="41"/>
      <c r="C9" s="41">
        <f>SUM(C4:C8)</f>
        <v>2.7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5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41182</v>
      </c>
      <c r="C1" s="31" t="s">
        <v>252</v>
      </c>
      <c r="D1" s="32">
        <v>31.135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13" t="s">
        <v>266</v>
      </c>
      <c r="B4" s="9">
        <v>15.55</v>
      </c>
      <c r="C4" s="9">
        <v>0.58</v>
      </c>
      <c r="D4" s="9">
        <f>C4/$C$7*$D$7</f>
        <v>1.353558926487748</v>
      </c>
      <c r="E4" s="9">
        <f>(B4+D4)*$D$1</f>
        <v>526.292307176196</v>
      </c>
      <c r="F4" s="39">
        <v>726</v>
      </c>
      <c r="G4" s="39">
        <f>-E4+F4</f>
        <v>199.707692823804</v>
      </c>
    </row>
    <row r="5" spans="1:7" s="35" customFormat="1" ht="15">
      <c r="A5" s="13" t="s">
        <v>267</v>
      </c>
      <c r="B5" s="9">
        <v>23.31</v>
      </c>
      <c r="C5" s="9">
        <v>0.331</v>
      </c>
      <c r="D5" s="9">
        <f>C5/$C$7*$D$7</f>
        <v>0.7724620770128356</v>
      </c>
      <c r="E5" s="9">
        <f>(B5+D5)*$D$1</f>
        <v>749.8074567677946</v>
      </c>
      <c r="F5" s="39">
        <v>758</v>
      </c>
      <c r="G5" s="39">
        <f>-E5+F5</f>
        <v>8.192543232205367</v>
      </c>
    </row>
    <row r="6" spans="1:7" s="35" customFormat="1" ht="15">
      <c r="A6" s="13" t="s">
        <v>260</v>
      </c>
      <c r="B6" s="9">
        <v>36.08</v>
      </c>
      <c r="C6" s="9">
        <v>1.66</v>
      </c>
      <c r="D6" s="9">
        <f>C6/$C$7*$D$7</f>
        <v>3.873978996499417</v>
      </c>
      <c r="E6" s="9"/>
      <c r="F6" s="39"/>
      <c r="G6" s="39"/>
    </row>
    <row r="7" spans="1:7" ht="15">
      <c r="A7" s="36"/>
      <c r="B7" s="36"/>
      <c r="C7" s="36">
        <f>SUM(C4:C6)</f>
        <v>2.5709999999999997</v>
      </c>
      <c r="D7" s="36">
        <v>6</v>
      </c>
      <c r="E7" s="36"/>
      <c r="F7" s="11"/>
      <c r="G7" s="11"/>
    </row>
    <row r="10" ht="15">
      <c r="A10" s="38" t="s">
        <v>261</v>
      </c>
    </row>
    <row r="11" ht="15">
      <c r="A11" s="38" t="s">
        <v>265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41379</v>
      </c>
      <c r="C1" s="31" t="s">
        <v>252</v>
      </c>
      <c r="D1" s="48">
        <v>31.46</v>
      </c>
      <c r="E1" s="28" t="s">
        <v>253</v>
      </c>
    </row>
    <row r="2" s="28" customFormat="1" ht="15">
      <c r="A2" s="46" t="s">
        <v>329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154</v>
      </c>
      <c r="B4" s="11">
        <v>19.81</v>
      </c>
      <c r="C4" s="11">
        <v>0.11</v>
      </c>
      <c r="D4" s="9">
        <f>C4/$C$8*$D$8</f>
        <v>0.48708487084870844</v>
      </c>
      <c r="E4" s="9">
        <f>(B4+D4)*$D$1</f>
        <v>638.5462900369004</v>
      </c>
      <c r="F4" s="39">
        <v>346</v>
      </c>
      <c r="G4" s="39">
        <f>-E4+F4</f>
        <v>-292.54629003690036</v>
      </c>
    </row>
    <row r="5" spans="1:7" s="35" customFormat="1" ht="15">
      <c r="A5" s="9" t="s">
        <v>69</v>
      </c>
      <c r="B5" s="40">
        <v>21.71</v>
      </c>
      <c r="C5" s="11">
        <v>0.48</v>
      </c>
      <c r="D5" s="9">
        <f>C5/$C$8*$D$8</f>
        <v>2.1254612546125458</v>
      </c>
      <c r="E5" s="9">
        <f>(B5+D5)*$D$1</f>
        <v>749.8636110701108</v>
      </c>
      <c r="F5" s="39">
        <v>707</v>
      </c>
      <c r="G5" s="39">
        <f>-E5+F5</f>
        <v>-42.86361107011078</v>
      </c>
    </row>
    <row r="6" spans="1:7" s="35" customFormat="1" ht="15">
      <c r="A6" s="9" t="s">
        <v>131</v>
      </c>
      <c r="B6" s="40">
        <v>27.85</v>
      </c>
      <c r="C6" s="11">
        <v>1.9</v>
      </c>
      <c r="D6" s="9">
        <f>C6/$C$8*$D$8</f>
        <v>8.413284132841328</v>
      </c>
      <c r="E6" s="9">
        <f>(B6+D6)*$D$1</f>
        <v>1140.8429188191883</v>
      </c>
      <c r="F6" s="39">
        <f>28+1146.5</f>
        <v>1174.5</v>
      </c>
      <c r="G6" s="39">
        <f>-E6+F6</f>
        <v>33.6570811808117</v>
      </c>
    </row>
    <row r="7" spans="1:7" s="35" customFormat="1" ht="15">
      <c r="A7" s="9" t="s">
        <v>260</v>
      </c>
      <c r="B7" s="40">
        <v>15</v>
      </c>
      <c r="C7" s="11">
        <v>0.22</v>
      </c>
      <c r="D7" s="9">
        <f>C7/$C$8*$D$8</f>
        <v>0.9741697416974169</v>
      </c>
      <c r="E7" s="41"/>
      <c r="F7" s="41"/>
      <c r="G7" s="41"/>
    </row>
    <row r="8" spans="1:7" s="43" customFormat="1" ht="15">
      <c r="A8" s="41"/>
      <c r="B8" s="41"/>
      <c r="C8" s="41">
        <f>SUM(C4:C7)</f>
        <v>2.71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A9" sqref="A9:A13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41387</v>
      </c>
      <c r="C1" s="31" t="s">
        <v>252</v>
      </c>
      <c r="D1" s="48">
        <v>31.6</v>
      </c>
      <c r="E1" s="28" t="s">
        <v>253</v>
      </c>
    </row>
    <row r="2" s="28" customFormat="1" ht="15">
      <c r="A2" s="46" t="s">
        <v>330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24</v>
      </c>
      <c r="B4" s="11">
        <v>69.93</v>
      </c>
      <c r="C4" s="11">
        <v>0.7</v>
      </c>
      <c r="D4" s="9">
        <f>C4/$C$6*$D$6</f>
        <v>3.122676579925651</v>
      </c>
      <c r="E4" s="9">
        <f>(B4+D4)*$D$1</f>
        <v>2308.464579925651</v>
      </c>
      <c r="F4" s="39">
        <v>2693</v>
      </c>
      <c r="G4" s="39">
        <f>-E4+F4</f>
        <v>384.5354200743491</v>
      </c>
    </row>
    <row r="5" spans="1:7" s="35" customFormat="1" ht="15">
      <c r="A5" s="9" t="s">
        <v>260</v>
      </c>
      <c r="B5" s="40">
        <v>18.6</v>
      </c>
      <c r="C5" s="11">
        <v>1.99</v>
      </c>
      <c r="D5" s="9">
        <f>C5/$C$6*$D$6</f>
        <v>8.877323420074351</v>
      </c>
      <c r="E5" s="41"/>
      <c r="F5" s="41"/>
      <c r="G5" s="41"/>
    </row>
    <row r="6" spans="1:7" s="43" customFormat="1" ht="15">
      <c r="A6" s="41"/>
      <c r="B6" s="41"/>
      <c r="C6" s="41">
        <f>SUM(C4:C5)</f>
        <v>2.69</v>
      </c>
      <c r="D6" s="41">
        <v>12</v>
      </c>
      <c r="E6" s="41"/>
      <c r="F6" s="41"/>
      <c r="G6" s="41"/>
    </row>
    <row r="9" ht="31.5">
      <c r="A9" s="49"/>
    </row>
    <row r="10" ht="31.5">
      <c r="A10" s="49"/>
    </row>
    <row r="11" ht="15">
      <c r="A11" s="38"/>
    </row>
    <row r="12" ht="15">
      <c r="A12" s="38"/>
    </row>
    <row r="13" ht="15">
      <c r="A13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41387</v>
      </c>
      <c r="C1" s="31" t="s">
        <v>252</v>
      </c>
      <c r="D1" s="48">
        <v>31.6</v>
      </c>
      <c r="E1" s="28" t="s">
        <v>253</v>
      </c>
    </row>
    <row r="2" s="28" customFormat="1" ht="15">
      <c r="A2" s="46" t="s">
        <v>330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69</v>
      </c>
      <c r="B4" s="11">
        <v>16.36</v>
      </c>
      <c r="C4" s="11">
        <v>0.68</v>
      </c>
      <c r="D4" s="9">
        <f>C4/$C$9*$D$9</f>
        <v>3.0561797752808992</v>
      </c>
      <c r="E4" s="9">
        <f>(B4+D4)*$D$1</f>
        <v>613.5512808988764</v>
      </c>
      <c r="F4" s="39">
        <v>650</v>
      </c>
      <c r="G4" s="39">
        <f>-E4+F4</f>
        <v>36.44871910112363</v>
      </c>
    </row>
    <row r="5" spans="1:7" s="35" customFormat="1" ht="15">
      <c r="A5" s="9" t="s">
        <v>47</v>
      </c>
      <c r="B5" s="11">
        <v>14.25</v>
      </c>
      <c r="C5" s="11">
        <v>0.27</v>
      </c>
      <c r="D5" s="9">
        <f>C5/$C$9*$D$9</f>
        <v>1.2134831460674158</v>
      </c>
      <c r="E5" s="9">
        <f>(B5+D5)*$D$1</f>
        <v>488.6460674157304</v>
      </c>
      <c r="F5" s="39">
        <v>493</v>
      </c>
      <c r="G5" s="39">
        <f>-E5+F5</f>
        <v>4.353932584269614</v>
      </c>
    </row>
    <row r="6" spans="1:7" s="35" customFormat="1" ht="15">
      <c r="A6" s="9" t="s">
        <v>331</v>
      </c>
      <c r="B6" s="11">
        <v>17.89</v>
      </c>
      <c r="C6" s="11">
        <v>0.46</v>
      </c>
      <c r="D6" s="9">
        <f>C6/$C$9*$D$9</f>
        <v>2.067415730337079</v>
      </c>
      <c r="E6" s="9">
        <f>(B6+D6)*$D$1</f>
        <v>630.6543370786517</v>
      </c>
      <c r="F6" s="39">
        <v>636</v>
      </c>
      <c r="G6" s="39">
        <f>-E6+F6</f>
        <v>5.345662921348321</v>
      </c>
    </row>
    <row r="7" spans="1:7" s="35" customFormat="1" ht="15">
      <c r="A7" s="9" t="s">
        <v>24</v>
      </c>
      <c r="B7" s="11">
        <v>12.79</v>
      </c>
      <c r="C7" s="11">
        <v>0.11</v>
      </c>
      <c r="D7" s="9">
        <f>C7/$C$9*$D$9</f>
        <v>0.49438202247191015</v>
      </c>
      <c r="E7" s="9">
        <f>(B7+D7)*$D$1</f>
        <v>419.78647191011237</v>
      </c>
      <c r="F7" s="39">
        <f>60</f>
        <v>60</v>
      </c>
      <c r="G7" s="39">
        <f>-E7+F7</f>
        <v>-359.78647191011237</v>
      </c>
    </row>
    <row r="8" spans="1:7" s="35" customFormat="1" ht="15">
      <c r="A8" s="9" t="s">
        <v>266</v>
      </c>
      <c r="B8" s="40">
        <v>24.44</v>
      </c>
      <c r="C8" s="11">
        <v>1.15</v>
      </c>
      <c r="D8" s="9">
        <f>C8/$C$9*$D$9</f>
        <v>5.168539325842697</v>
      </c>
      <c r="E8" s="9">
        <f>(B8+D8)*$D$1</f>
        <v>935.6298426966293</v>
      </c>
      <c r="F8" s="39">
        <v>919</v>
      </c>
      <c r="G8" s="39">
        <f>-E8+F8</f>
        <v>-16.62984269662934</v>
      </c>
    </row>
    <row r="9" spans="1:7" s="43" customFormat="1" ht="15">
      <c r="A9" s="41"/>
      <c r="B9" s="41"/>
      <c r="C9" s="41">
        <f>SUM(C4:C8)</f>
        <v>2.67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41387</v>
      </c>
      <c r="C1" s="31" t="s">
        <v>252</v>
      </c>
      <c r="D1" s="48">
        <v>31.6</v>
      </c>
      <c r="E1" s="28" t="s">
        <v>253</v>
      </c>
    </row>
    <row r="2" s="28" customFormat="1" ht="15">
      <c r="A2" s="46" t="s">
        <v>330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73</v>
      </c>
      <c r="B4" s="11">
        <v>60.44</v>
      </c>
      <c r="C4" s="11">
        <v>1.25</v>
      </c>
      <c r="D4" s="9">
        <f>C4/$C$8*$D$8</f>
        <v>5.535055350553506</v>
      </c>
      <c r="E4" s="9">
        <f>(B4+D4)*$D$1</f>
        <v>2084.8117490774907</v>
      </c>
      <c r="F4" s="39">
        <v>2098</v>
      </c>
      <c r="G4" s="39">
        <f>-E4+F4</f>
        <v>13.188250922509269</v>
      </c>
    </row>
    <row r="5" spans="1:7" s="35" customFormat="1" ht="15">
      <c r="A5" s="9" t="s">
        <v>43</v>
      </c>
      <c r="B5" s="11">
        <v>11.96</v>
      </c>
      <c r="C5" s="11">
        <v>1.08</v>
      </c>
      <c r="D5" s="9">
        <f>C5/$C$8*$D$8</f>
        <v>4.78228782287823</v>
      </c>
      <c r="E5" s="9">
        <f>(B5+D5)*$D$1</f>
        <v>529.0562952029521</v>
      </c>
      <c r="F5" s="39">
        <v>529</v>
      </c>
      <c r="G5" s="39">
        <f>-E5+F5</f>
        <v>-0.05629520295212842</v>
      </c>
    </row>
    <row r="6" spans="1:7" s="35" customFormat="1" ht="15">
      <c r="A6" s="9" t="s">
        <v>91</v>
      </c>
      <c r="B6" s="11">
        <v>12.73</v>
      </c>
      <c r="C6" s="11">
        <v>0.11</v>
      </c>
      <c r="D6" s="9">
        <f>C6/$C$8*$D$8</f>
        <v>0.48708487084870844</v>
      </c>
      <c r="E6" s="9">
        <f>(B6+D6)*$D$1</f>
        <v>417.6598819188192</v>
      </c>
      <c r="F6" s="39">
        <v>421</v>
      </c>
      <c r="G6" s="39">
        <f>-E6+F6</f>
        <v>3.3401180811807762</v>
      </c>
    </row>
    <row r="7" spans="1:7" s="35" customFormat="1" ht="15">
      <c r="A7" s="9" t="s">
        <v>332</v>
      </c>
      <c r="B7" s="11">
        <v>5.57</v>
      </c>
      <c r="C7" s="11">
        <v>0.27</v>
      </c>
      <c r="D7" s="9">
        <f>C7/$C$8*$D$8</f>
        <v>1.1955719557195574</v>
      </c>
      <c r="E7" s="9">
        <f>(B7+D7)*$D$1</f>
        <v>213.79207380073805</v>
      </c>
      <c r="F7" s="39">
        <v>588</v>
      </c>
      <c r="G7" s="39">
        <f>-E7+F7</f>
        <v>374.2079261992619</v>
      </c>
    </row>
    <row r="8" spans="1:7" s="43" customFormat="1" ht="15">
      <c r="A8" s="41"/>
      <c r="B8" s="41"/>
      <c r="C8" s="41">
        <f>SUM(C4:C7)</f>
        <v>2.71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O27" sqref="O27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41387</v>
      </c>
      <c r="C1" s="31" t="s">
        <v>252</v>
      </c>
      <c r="D1" s="48">
        <v>31.6</v>
      </c>
      <c r="E1" s="28" t="s">
        <v>253</v>
      </c>
    </row>
    <row r="2" s="28" customFormat="1" ht="15">
      <c r="A2" s="46" t="s">
        <v>330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65</v>
      </c>
      <c r="B4" s="11">
        <v>27.25</v>
      </c>
      <c r="C4" s="11">
        <v>0.89</v>
      </c>
      <c r="D4" s="9">
        <f>C4/$C$7*$D$7</f>
        <v>3.9702602230483266</v>
      </c>
      <c r="E4" s="9">
        <f>(B4+D4)*$D$1</f>
        <v>986.5602230483272</v>
      </c>
      <c r="F4" s="39">
        <v>995</v>
      </c>
      <c r="G4" s="39">
        <f>-E4+F4</f>
        <v>8.439776951672798</v>
      </c>
    </row>
    <row r="5" spans="1:7" s="35" customFormat="1" ht="15">
      <c r="A5" s="9" t="s">
        <v>332</v>
      </c>
      <c r="B5" s="11">
        <v>9.92</v>
      </c>
      <c r="C5" s="11">
        <v>0.43</v>
      </c>
      <c r="D5" s="9">
        <f>C5/$C$7*$D$7</f>
        <v>1.9182156133828996</v>
      </c>
      <c r="E5" s="9">
        <f>(B5+D5)*$D$1</f>
        <v>374.08761338289963</v>
      </c>
      <c r="F5" s="39"/>
      <c r="G5" s="39">
        <f>-E5+F5</f>
        <v>-374.08761338289963</v>
      </c>
    </row>
    <row r="6" spans="1:7" s="35" customFormat="1" ht="15">
      <c r="A6" s="9" t="s">
        <v>260</v>
      </c>
      <c r="B6" s="40">
        <v>44.88</v>
      </c>
      <c r="C6" s="11">
        <v>1.37</v>
      </c>
      <c r="D6" s="9">
        <f>C6/$C$7*$D$7</f>
        <v>6.111524163568773</v>
      </c>
      <c r="E6" s="41"/>
      <c r="F6" s="41"/>
      <c r="G6" s="41"/>
    </row>
    <row r="7" spans="1:7" s="43" customFormat="1" ht="15">
      <c r="A7" s="41"/>
      <c r="B7" s="41"/>
      <c r="C7" s="41">
        <f>SUM(C4:C6)</f>
        <v>2.6900000000000004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41398</v>
      </c>
      <c r="C1" s="31" t="s">
        <v>252</v>
      </c>
      <c r="D1" s="48">
        <v>31.09</v>
      </c>
      <c r="E1" s="28" t="s">
        <v>253</v>
      </c>
    </row>
    <row r="2" s="28" customFormat="1" ht="15">
      <c r="A2" s="46" t="s">
        <v>333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211</v>
      </c>
      <c r="B4" s="11">
        <v>22.01</v>
      </c>
      <c r="C4" s="58">
        <v>0.11</v>
      </c>
      <c r="D4" s="9">
        <f>C4/$C$8*$D$8</f>
        <v>0.48708487084870844</v>
      </c>
      <c r="E4" s="9">
        <f>(B4+D4)*$D$1</f>
        <v>699.4343686346864</v>
      </c>
      <c r="F4" s="39">
        <v>712</v>
      </c>
      <c r="G4" s="39">
        <f>-E4+F4</f>
        <v>12.565631365313607</v>
      </c>
    </row>
    <row r="5" spans="1:7" s="35" customFormat="1" ht="15">
      <c r="A5" s="9" t="s">
        <v>43</v>
      </c>
      <c r="B5" s="9">
        <v>2.7</v>
      </c>
      <c r="C5" s="9">
        <v>0.11</v>
      </c>
      <c r="D5" s="9">
        <f>C5/$C$8*$D$8</f>
        <v>0.48708487084870844</v>
      </c>
      <c r="E5" s="9">
        <f>(B5+D5)*'55'!$D$1</f>
        <v>96.12247970479706</v>
      </c>
      <c r="F5" s="39">
        <v>91</v>
      </c>
      <c r="G5" s="39">
        <f>-E5+F5</f>
        <v>-5.122479704797058</v>
      </c>
    </row>
    <row r="6" spans="1:7" s="35" customFormat="1" ht="15">
      <c r="A6" s="9" t="s">
        <v>137</v>
      </c>
      <c r="B6" s="40">
        <v>57.41</v>
      </c>
      <c r="C6" s="11">
        <v>1.95</v>
      </c>
      <c r="D6" s="9">
        <f>C6/$C$8*$D$8</f>
        <v>8.634686346863468</v>
      </c>
      <c r="E6" s="9">
        <f>(B6+D6)*'55'!$D$1</f>
        <v>1991.9077402214023</v>
      </c>
      <c r="F6" s="39">
        <v>1992</v>
      </c>
      <c r="G6" s="39">
        <f>-E6+F6</f>
        <v>0.09225977859773593</v>
      </c>
    </row>
    <row r="7" spans="1:7" s="35" customFormat="1" ht="15">
      <c r="A7" s="9" t="s">
        <v>24</v>
      </c>
      <c r="B7" s="9">
        <v>14.01</v>
      </c>
      <c r="C7" s="9">
        <v>0.54</v>
      </c>
      <c r="D7" s="9">
        <f>C7/$C$8*$D$8</f>
        <v>2.391143911439115</v>
      </c>
      <c r="E7" s="9">
        <f>(B7+D7)*'55'!$D$1</f>
        <v>494.65850036900366</v>
      </c>
      <c r="F7" s="39">
        <v>470</v>
      </c>
      <c r="G7" s="39">
        <f>-E7+F7</f>
        <v>-24.65850036900366</v>
      </c>
    </row>
    <row r="8" spans="1:7" s="43" customFormat="1" ht="15">
      <c r="A8" s="41"/>
      <c r="B8" s="41"/>
      <c r="C8" s="41">
        <f>SUM(C4:C7)</f>
        <v>2.71</v>
      </c>
      <c r="D8" s="41">
        <v>12</v>
      </c>
      <c r="E8" s="41"/>
      <c r="F8" s="41"/>
      <c r="G8" s="41"/>
    </row>
    <row r="10" ht="31.5">
      <c r="A10" s="49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41398</v>
      </c>
      <c r="C1" s="31" t="s">
        <v>252</v>
      </c>
      <c r="D1" s="48">
        <v>31.09</v>
      </c>
      <c r="E1" s="28" t="s">
        <v>253</v>
      </c>
    </row>
    <row r="2" s="28" customFormat="1" ht="15">
      <c r="A2" s="46" t="s">
        <v>333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243</v>
      </c>
      <c r="B4" s="11">
        <v>26.49</v>
      </c>
      <c r="C4" s="11">
        <v>0.45</v>
      </c>
      <c r="D4" s="9">
        <f>C4/$C$7*$D$7</f>
        <v>2.0074349442379185</v>
      </c>
      <c r="E4" s="9">
        <f>(B4+D4)*$D$1</f>
        <v>885.9852524163568</v>
      </c>
      <c r="F4" s="39">
        <v>910</v>
      </c>
      <c r="G4" s="39">
        <f>-E4+F4</f>
        <v>24.014747583643157</v>
      </c>
    </row>
    <row r="5" spans="1:7" s="35" customFormat="1" ht="15">
      <c r="A5" s="9" t="s">
        <v>73</v>
      </c>
      <c r="B5" s="11">
        <v>30.56</v>
      </c>
      <c r="C5" s="11">
        <v>0.21</v>
      </c>
      <c r="D5" s="9">
        <f>C5/$C$7*$D$7</f>
        <v>0.9368029739776952</v>
      </c>
      <c r="E5" s="9">
        <f>(B5+D5)*'55'!$D$1</f>
        <v>949.9435776951673</v>
      </c>
      <c r="F5" s="39">
        <v>931</v>
      </c>
      <c r="G5" s="39">
        <f>-E5+F5</f>
        <v>-18.943577695167278</v>
      </c>
    </row>
    <row r="6" spans="1:7" s="35" customFormat="1" ht="15">
      <c r="A6" s="9" t="s">
        <v>61</v>
      </c>
      <c r="B6" s="40">
        <v>35.21</v>
      </c>
      <c r="C6" s="11">
        <v>2.03</v>
      </c>
      <c r="D6" s="9">
        <f>C6/$C$7*$D$7</f>
        <v>9.055762081784387</v>
      </c>
      <c r="E6" s="9">
        <f>(B6+D6)*'55'!$D$1</f>
        <v>1335.055384386617</v>
      </c>
      <c r="F6" s="39">
        <v>3500</v>
      </c>
      <c r="G6" s="39">
        <f>-E6+F6</f>
        <v>2164.9446156133827</v>
      </c>
    </row>
    <row r="7" spans="1:7" s="43" customFormat="1" ht="15">
      <c r="A7" s="41"/>
      <c r="B7" s="41"/>
      <c r="C7" s="41">
        <f>SUM(C4:C6)</f>
        <v>2.69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A4" sqref="A4:C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41398</v>
      </c>
      <c r="C1" s="31" t="s">
        <v>252</v>
      </c>
      <c r="D1" s="48">
        <v>31.09</v>
      </c>
      <c r="E1" s="28" t="s">
        <v>253</v>
      </c>
    </row>
    <row r="2" s="28" customFormat="1" ht="15">
      <c r="A2" s="46" t="s">
        <v>333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61</v>
      </c>
      <c r="B4" s="11">
        <v>44.35</v>
      </c>
      <c r="C4" s="11">
        <v>2.401</v>
      </c>
      <c r="D4" s="9">
        <f>C4/$C$6*$D$6</f>
        <v>10.627812615271118</v>
      </c>
      <c r="E4" s="9">
        <f>(B4+D4)*$D$1</f>
        <v>1709.260194208779</v>
      </c>
      <c r="F4" s="39"/>
      <c r="G4" s="39">
        <f>-E4+F4</f>
        <v>-1709.260194208779</v>
      </c>
    </row>
    <row r="5" spans="1:7" s="35" customFormat="1" ht="15">
      <c r="A5" s="9" t="s">
        <v>25</v>
      </c>
      <c r="B5" s="11">
        <v>34.64</v>
      </c>
      <c r="C5" s="11">
        <v>0.31</v>
      </c>
      <c r="D5" s="9">
        <f>C5/$C$6*$D$6</f>
        <v>1.3721873847288824</v>
      </c>
      <c r="E5" s="9">
        <f>(B5+D5)*'55'!$D$1</f>
        <v>1086.127571523423</v>
      </c>
      <c r="F5" s="39">
        <v>1086</v>
      </c>
      <c r="G5" s="39">
        <f>-E5+F5</f>
        <v>-0.12757152342305744</v>
      </c>
    </row>
    <row r="6" spans="1:7" s="43" customFormat="1" ht="15">
      <c r="A6" s="41"/>
      <c r="B6" s="41"/>
      <c r="C6" s="41">
        <f>SUM(C4:C5)</f>
        <v>2.711</v>
      </c>
      <c r="D6" s="41">
        <v>12</v>
      </c>
      <c r="E6" s="41"/>
      <c r="F6" s="41"/>
      <c r="G6" s="41"/>
    </row>
    <row r="9" ht="31.5">
      <c r="A9" s="49"/>
    </row>
    <row r="10" ht="31.5">
      <c r="A10" s="49"/>
    </row>
    <row r="11" ht="15">
      <c r="A11" s="38"/>
    </row>
    <row r="12" ht="15">
      <c r="A12" s="38"/>
    </row>
    <row r="13" ht="15">
      <c r="A13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41398</v>
      </c>
      <c r="C1" s="31" t="s">
        <v>252</v>
      </c>
      <c r="D1" s="48">
        <v>31.09</v>
      </c>
      <c r="E1" s="28" t="s">
        <v>253</v>
      </c>
    </row>
    <row r="2" s="28" customFormat="1" ht="15">
      <c r="A2" s="46" t="s">
        <v>333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334</v>
      </c>
      <c r="B4" s="11">
        <v>30.82</v>
      </c>
      <c r="C4" s="11">
        <v>1.37</v>
      </c>
      <c r="D4" s="9">
        <f>C4/$C$9*$D$9</f>
        <v>6.0664206642066425</v>
      </c>
      <c r="E4" s="9">
        <f>(B4+D4)*$D$1</f>
        <v>1146.7988184501844</v>
      </c>
      <c r="F4" s="39">
        <v>1159</v>
      </c>
      <c r="G4" s="39">
        <f>-E4+F4</f>
        <v>12.201181549815601</v>
      </c>
    </row>
    <row r="5" spans="1:7" s="35" customFormat="1" ht="15">
      <c r="A5" s="9" t="s">
        <v>230</v>
      </c>
      <c r="B5" s="11">
        <v>11.3</v>
      </c>
      <c r="C5" s="11">
        <v>0.76</v>
      </c>
      <c r="D5" s="9">
        <f>C5/$C$9*$D$9</f>
        <v>3.365313653136532</v>
      </c>
      <c r="E5" s="9">
        <f>(B5+D5)*'55'!$D$1</f>
        <v>442.30585977859783</v>
      </c>
      <c r="F5" s="39">
        <v>452</v>
      </c>
      <c r="G5" s="39">
        <f>-E5+F5</f>
        <v>9.694140221402165</v>
      </c>
    </row>
    <row r="6" spans="1:7" s="35" customFormat="1" ht="15">
      <c r="A6" s="9" t="s">
        <v>69</v>
      </c>
      <c r="B6" s="40">
        <v>32.62</v>
      </c>
      <c r="C6" s="11">
        <v>0.49</v>
      </c>
      <c r="D6" s="9">
        <f>C6/$C$9*$D$9</f>
        <v>2.169741697416974</v>
      </c>
      <c r="E6" s="9">
        <f>(B6+D6)*'55'!$D$1</f>
        <v>1049.2586095940958</v>
      </c>
      <c r="F6" s="39">
        <v>1044</v>
      </c>
      <c r="G6" s="39">
        <f>-E6+F6</f>
        <v>-5.2586095940957875</v>
      </c>
    </row>
    <row r="7" spans="1:7" s="35" customFormat="1" ht="15">
      <c r="A7" s="9" t="s">
        <v>25</v>
      </c>
      <c r="B7" s="61">
        <v>1.51</v>
      </c>
      <c r="C7" s="62">
        <v>0.03</v>
      </c>
      <c r="D7" s="9">
        <f>C7/$C$9*$D$9</f>
        <v>0.1328413284132841</v>
      </c>
      <c r="E7" s="9">
        <f>(B7+D7)*'55'!$D$1</f>
        <v>49.54809446494465</v>
      </c>
      <c r="F7" s="39"/>
      <c r="G7" s="39">
        <f>-E7+F7</f>
        <v>-49.54809446494465</v>
      </c>
    </row>
    <row r="8" spans="1:7" s="35" customFormat="1" ht="15">
      <c r="A8" s="9" t="s">
        <v>260</v>
      </c>
      <c r="B8" s="60">
        <v>3.34</v>
      </c>
      <c r="C8" s="11">
        <v>0.06</v>
      </c>
      <c r="D8" s="9">
        <f>C8/$C$9*$D$9</f>
        <v>0.2656826568265682</v>
      </c>
      <c r="E8" s="51"/>
      <c r="F8" s="52"/>
      <c r="G8" s="52"/>
    </row>
    <row r="9" spans="1:7" s="43" customFormat="1" ht="15">
      <c r="A9" s="41"/>
      <c r="B9" s="41"/>
      <c r="C9" s="41">
        <f>SUM(C4:C8)</f>
        <v>2.71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41398</v>
      </c>
      <c r="C1" s="31" t="s">
        <v>252</v>
      </c>
      <c r="D1" s="48">
        <v>31.09</v>
      </c>
      <c r="E1" s="28" t="s">
        <v>253</v>
      </c>
    </row>
    <row r="2" s="28" customFormat="1" ht="15">
      <c r="A2" s="46" t="s">
        <v>333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242</v>
      </c>
      <c r="B4" s="11">
        <v>6.46</v>
      </c>
      <c r="C4" s="11">
        <v>0.22</v>
      </c>
      <c r="D4" s="9">
        <f>C4/$C$8*$D$8</f>
        <v>0.9887640449438203</v>
      </c>
      <c r="E4" s="9">
        <f>(B4+D4)*$D$1</f>
        <v>231.58207415730337</v>
      </c>
      <c r="F4" s="39">
        <v>236</v>
      </c>
      <c r="G4" s="39">
        <f>-E4+F4</f>
        <v>4.417925842696633</v>
      </c>
    </row>
    <row r="5" spans="1:7" s="35" customFormat="1" ht="15">
      <c r="A5" s="9" t="s">
        <v>41</v>
      </c>
      <c r="B5" s="11">
        <v>16.36</v>
      </c>
      <c r="C5" s="11">
        <v>0.64</v>
      </c>
      <c r="D5" s="9">
        <f>C5/$C$8*$D$8</f>
        <v>2.8764044943820224</v>
      </c>
      <c r="E5" s="9">
        <f>(B5+D5)*'55'!$D$1</f>
        <v>580.1699595505618</v>
      </c>
      <c r="F5" s="39">
        <v>581</v>
      </c>
      <c r="G5" s="39">
        <f>-E5+F5</f>
        <v>0.8300404494382292</v>
      </c>
    </row>
    <row r="6" spans="1:7" s="35" customFormat="1" ht="15">
      <c r="A6" s="9" t="s">
        <v>266</v>
      </c>
      <c r="B6" s="40">
        <v>9.04</v>
      </c>
      <c r="C6" s="11">
        <v>0.16</v>
      </c>
      <c r="D6" s="9">
        <f>C6/$C$8*$D$8</f>
        <v>0.7191011235955056</v>
      </c>
      <c r="E6" s="9">
        <f>(B6+D6)*'55'!$D$1</f>
        <v>294.3344898876404</v>
      </c>
      <c r="F6" s="39">
        <v>286</v>
      </c>
      <c r="G6" s="39">
        <f>-E6+F6</f>
        <v>-8.334489887640416</v>
      </c>
    </row>
    <row r="7" spans="1:7" s="35" customFormat="1" ht="15">
      <c r="A7" s="9" t="s">
        <v>260</v>
      </c>
      <c r="B7" s="60">
        <v>60.62</v>
      </c>
      <c r="C7" s="11">
        <v>1.65</v>
      </c>
      <c r="D7" s="9">
        <f>C7/$C$8*$D$8</f>
        <v>7.415730337078651</v>
      </c>
      <c r="E7" s="51"/>
      <c r="F7" s="52"/>
      <c r="G7" s="52"/>
    </row>
    <row r="8" spans="1:7" s="43" customFormat="1" ht="15">
      <c r="A8" s="41"/>
      <c r="B8" s="41"/>
      <c r="C8" s="41">
        <f>SUM(C4:C7)</f>
        <v>2.67</v>
      </c>
      <c r="D8" s="41">
        <v>12</v>
      </c>
      <c r="E8" s="41"/>
      <c r="F8" s="41"/>
      <c r="G8" s="41"/>
    </row>
    <row r="11" ht="31.5">
      <c r="A11" s="49"/>
    </row>
    <row r="12" ht="31.5">
      <c r="A12" s="49"/>
    </row>
    <row r="13" ht="15">
      <c r="A13" s="38"/>
    </row>
    <row r="14" ht="15">
      <c r="A14" s="38"/>
    </row>
    <row r="15" ht="15">
      <c r="A1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2.140625" style="28" customWidth="1"/>
    <col min="2" max="3" width="15.7109375" style="28" customWidth="1"/>
    <col min="4" max="4" width="12.421875" style="28" customWidth="1"/>
    <col min="5" max="5" width="17.00390625" style="28" customWidth="1"/>
    <col min="6" max="6" width="13.28125" style="28" customWidth="1"/>
    <col min="7" max="7" width="14.7109375" style="28" customWidth="1"/>
    <col min="8" max="8" width="16.57421875" style="28" customWidth="1"/>
    <col min="9" max="9" width="63.00390625" style="28" customWidth="1"/>
    <col min="10" max="16384" width="9.140625" style="28" customWidth="1"/>
  </cols>
  <sheetData>
    <row r="1" spans="1:5" ht="21">
      <c r="A1" s="29" t="s">
        <v>251</v>
      </c>
      <c r="B1" s="30">
        <v>41182</v>
      </c>
      <c r="C1" s="31" t="s">
        <v>252</v>
      </c>
      <c r="D1" s="32">
        <v>31.135</v>
      </c>
      <c r="E1" s="28" t="s">
        <v>253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13" t="s">
        <v>264</v>
      </c>
      <c r="B4" s="9">
        <v>37.42</v>
      </c>
      <c r="C4" s="9">
        <v>1.71</v>
      </c>
      <c r="D4" s="9">
        <f>C4/$C$9*$D$9</f>
        <v>3.8716981132075476</v>
      </c>
      <c r="E4" s="9">
        <f>(B4+D4)*$D$1</f>
        <v>1285.6170207547173</v>
      </c>
      <c r="F4" s="39">
        <v>1395</v>
      </c>
      <c r="G4" s="39">
        <f>-E4+F4</f>
        <v>109.38297924528274</v>
      </c>
    </row>
    <row r="5" spans="1:7" s="35" customFormat="1" ht="15">
      <c r="A5" s="13" t="s">
        <v>268</v>
      </c>
      <c r="B5" s="9">
        <v>6.56</v>
      </c>
      <c r="C5" s="9">
        <v>0.4</v>
      </c>
      <c r="D5" s="9">
        <f>C5/$C$9*$D$9</f>
        <v>0.9056603773584908</v>
      </c>
      <c r="E5" s="9">
        <f>(B5+D5)*$D$1</f>
        <v>232.44333584905664</v>
      </c>
      <c r="F5" s="39">
        <v>236</v>
      </c>
      <c r="G5" s="39">
        <f>-E5+F5</f>
        <v>3.5566641509433623</v>
      </c>
    </row>
    <row r="6" spans="1:7" s="35" customFormat="1" ht="15">
      <c r="A6" s="13" t="s">
        <v>204</v>
      </c>
      <c r="B6" s="9">
        <v>20.33</v>
      </c>
      <c r="C6" s="9">
        <v>0.24</v>
      </c>
      <c r="D6" s="9">
        <f>C6/$C$9*$D$9</f>
        <v>0.5433962264150944</v>
      </c>
      <c r="E6" s="9">
        <f>(B6+D6)*$D$1</f>
        <v>649.8931915094339</v>
      </c>
      <c r="F6" s="39">
        <v>658</v>
      </c>
      <c r="G6" s="39">
        <f>-E6+F6</f>
        <v>8.106808490566095</v>
      </c>
    </row>
    <row r="7" spans="1:7" ht="15">
      <c r="A7" s="13" t="s">
        <v>238</v>
      </c>
      <c r="B7" s="9">
        <v>20.42</v>
      </c>
      <c r="C7" s="9">
        <v>0.3</v>
      </c>
      <c r="D7" s="9">
        <f>C7/$C$9*$D$9</f>
        <v>0.679245283018868</v>
      </c>
      <c r="E7" s="9">
        <f>(B7+D7)*$D$1</f>
        <v>656.9250018867925</v>
      </c>
      <c r="F7" s="39">
        <v>665</v>
      </c>
      <c r="G7" s="39">
        <f>-E7+F7</f>
        <v>8.07499811320747</v>
      </c>
    </row>
    <row r="8" spans="1:7" ht="15">
      <c r="A8" s="13"/>
      <c r="B8" s="9"/>
      <c r="C8" s="9"/>
      <c r="D8" s="9"/>
      <c r="E8" s="9"/>
      <c r="F8" s="39"/>
      <c r="G8" s="39"/>
    </row>
    <row r="9" spans="1:7" ht="15">
      <c r="A9" s="36"/>
      <c r="B9" s="36"/>
      <c r="C9" s="36">
        <f>SUM(C4:C7)</f>
        <v>2.6499999999999995</v>
      </c>
      <c r="D9" s="36">
        <v>6</v>
      </c>
      <c r="E9" s="36"/>
      <c r="F9" s="11"/>
      <c r="G9" s="11"/>
    </row>
    <row r="12" ht="15">
      <c r="A12" s="38" t="s">
        <v>261</v>
      </c>
    </row>
    <row r="13" ht="15">
      <c r="A13" s="38" t="s">
        <v>265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A4" sqref="A4:C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41406</v>
      </c>
      <c r="C1" s="31" t="s">
        <v>252</v>
      </c>
      <c r="D1" s="48">
        <v>31.09</v>
      </c>
      <c r="E1" s="28" t="s">
        <v>253</v>
      </c>
    </row>
    <row r="2" s="28" customFormat="1" ht="15">
      <c r="A2" s="46" t="s">
        <v>335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65</v>
      </c>
      <c r="B4" s="11">
        <v>4.83</v>
      </c>
      <c r="C4" s="11">
        <v>0.46</v>
      </c>
      <c r="D4" s="9">
        <f>C4/$C$7*$D$7</f>
        <v>2.03690036900369</v>
      </c>
      <c r="E4" s="9">
        <f>(B4+D4)*$D$1</f>
        <v>213.49193247232472</v>
      </c>
      <c r="F4" s="39"/>
      <c r="G4" s="39">
        <f>-E4+F4</f>
        <v>-213.49193247232472</v>
      </c>
    </row>
    <row r="5" spans="1:7" s="35" customFormat="1" ht="15">
      <c r="A5" s="9" t="s">
        <v>24</v>
      </c>
      <c r="B5" s="11">
        <v>64.65</v>
      </c>
      <c r="C5" s="11">
        <v>0.83</v>
      </c>
      <c r="D5" s="9">
        <f>C5/$C$7*$D$7</f>
        <v>3.6752767527675276</v>
      </c>
      <c r="E5" s="9">
        <f>(B5+D5)*'55'!$D$1</f>
        <v>2060.6903468634687</v>
      </c>
      <c r="F5" s="39">
        <v>2061</v>
      </c>
      <c r="G5" s="39">
        <f>-E5+F5</f>
        <v>0.309653136531324</v>
      </c>
    </row>
    <row r="6" spans="1:7" s="35" customFormat="1" ht="15">
      <c r="A6" s="9" t="s">
        <v>260</v>
      </c>
      <c r="B6" s="60">
        <v>20.34</v>
      </c>
      <c r="C6" s="11">
        <v>1.42</v>
      </c>
      <c r="D6" s="9">
        <f>C6/$C$7*$D$7</f>
        <v>6.287822878228782</v>
      </c>
      <c r="E6" s="51"/>
      <c r="F6" s="52"/>
      <c r="G6" s="52"/>
    </row>
    <row r="7" spans="1:7" s="43" customFormat="1" ht="15">
      <c r="A7" s="41"/>
      <c r="B7" s="41"/>
      <c r="C7" s="41">
        <f>SUM(C4:C6)</f>
        <v>2.71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A4" sqref="A4:C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41406</v>
      </c>
      <c r="C1" s="31" t="s">
        <v>252</v>
      </c>
      <c r="D1" s="48">
        <v>31.09</v>
      </c>
      <c r="E1" s="28" t="s">
        <v>253</v>
      </c>
    </row>
    <row r="2" s="28" customFormat="1" ht="15">
      <c r="A2" s="46" t="s">
        <v>335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336</v>
      </c>
      <c r="B4" s="11">
        <v>4.15</v>
      </c>
      <c r="C4" s="11">
        <v>0.08</v>
      </c>
      <c r="D4" s="9">
        <f>C4/$C$7*$D$7</f>
        <v>0.366412213740458</v>
      </c>
      <c r="E4" s="9">
        <f>(B4+D4)*$D$1</f>
        <v>140.41525572519083</v>
      </c>
      <c r="F4" s="39">
        <v>137</v>
      </c>
      <c r="G4" s="39">
        <f>-E4+F4</f>
        <v>-3.415255725190832</v>
      </c>
    </row>
    <row r="5" spans="1:7" s="35" customFormat="1" ht="15">
      <c r="A5" s="9" t="s">
        <v>65</v>
      </c>
      <c r="B5" s="11">
        <v>35</v>
      </c>
      <c r="C5" s="11">
        <v>1.63</v>
      </c>
      <c r="D5" s="9">
        <f>C5/$C$7*$D$7</f>
        <v>7.465648854961832</v>
      </c>
      <c r="E5" s="9">
        <f>(B5+D5)*'55'!$D$1</f>
        <v>1280.7639694656489</v>
      </c>
      <c r="F5" s="39">
        <v>1475</v>
      </c>
      <c r="G5" s="39">
        <f>-E5+F5</f>
        <v>194.23603053435113</v>
      </c>
    </row>
    <row r="6" spans="1:7" s="35" customFormat="1" ht="15">
      <c r="A6" s="9" t="s">
        <v>267</v>
      </c>
      <c r="B6" s="40">
        <v>31.98</v>
      </c>
      <c r="C6" s="11">
        <v>0.91</v>
      </c>
      <c r="D6" s="9">
        <f>C6/$C$7*$D$7</f>
        <v>4.16793893129771</v>
      </c>
      <c r="E6" s="9">
        <f>(B6+D6)*'55'!$D$1</f>
        <v>1090.2218381679388</v>
      </c>
      <c r="F6" s="39">
        <v>1064</v>
      </c>
      <c r="G6" s="39">
        <f>-E6+F6</f>
        <v>-26.221838167938813</v>
      </c>
    </row>
    <row r="7" spans="1:7" s="43" customFormat="1" ht="15">
      <c r="A7" s="41"/>
      <c r="B7" s="41"/>
      <c r="C7" s="41">
        <f>SUM(C4:C6)</f>
        <v>2.62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A4" sqref="A4:C8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41414</v>
      </c>
      <c r="C1" s="31" t="s">
        <v>252</v>
      </c>
      <c r="D1" s="48">
        <v>31.47</v>
      </c>
      <c r="E1" s="28" t="s">
        <v>253</v>
      </c>
    </row>
    <row r="2" s="28" customFormat="1" ht="15">
      <c r="A2" s="46" t="s">
        <v>337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306</v>
      </c>
      <c r="B4" s="11">
        <v>3.3</v>
      </c>
      <c r="C4" s="11">
        <v>0.17</v>
      </c>
      <c r="D4" s="9">
        <f>C4/$C$9*$D$9</f>
        <v>0.7640449438202248</v>
      </c>
      <c r="E4" s="9">
        <f>(B4+D4)*$D$1</f>
        <v>127.89549438202246</v>
      </c>
      <c r="F4" s="39">
        <v>126</v>
      </c>
      <c r="G4" s="39">
        <f>-E4+F4</f>
        <v>-1.8954943820224628</v>
      </c>
    </row>
    <row r="5" spans="1:7" s="35" customFormat="1" ht="15">
      <c r="A5" s="9" t="s">
        <v>97</v>
      </c>
      <c r="B5" s="11">
        <v>11.68</v>
      </c>
      <c r="C5" s="11">
        <v>0.76</v>
      </c>
      <c r="D5" s="9">
        <f>C5/$C$9*$D$9</f>
        <v>3.415730337078652</v>
      </c>
      <c r="E5" s="9">
        <f>(B5+D5)*$D$1</f>
        <v>475.0626337078652</v>
      </c>
      <c r="F5" s="39">
        <v>483</v>
      </c>
      <c r="G5" s="39">
        <f>-E5+F5</f>
        <v>7.937366292134811</v>
      </c>
    </row>
    <row r="6" spans="1:7" s="35" customFormat="1" ht="15">
      <c r="A6" s="9" t="s">
        <v>123</v>
      </c>
      <c r="B6" s="11">
        <v>18.72</v>
      </c>
      <c r="C6" s="11">
        <v>0.24</v>
      </c>
      <c r="D6" s="9">
        <f>C6/$C$9*$D$9</f>
        <v>1.0786516853932584</v>
      </c>
      <c r="E6" s="9">
        <f>(B6+D6)*$D$1</f>
        <v>623.0635685393257</v>
      </c>
      <c r="F6" s="39">
        <v>632</v>
      </c>
      <c r="G6" s="39">
        <f>-E6+F6</f>
        <v>8.936431460674271</v>
      </c>
    </row>
    <row r="7" spans="1:7" s="35" customFormat="1" ht="15">
      <c r="A7" s="9" t="s">
        <v>65</v>
      </c>
      <c r="B7" s="11">
        <v>18.834</v>
      </c>
      <c r="C7" s="11">
        <v>0.64</v>
      </c>
      <c r="D7" s="9">
        <f>C7/$C$9*$D$9</f>
        <v>2.8764044943820224</v>
      </c>
      <c r="E7" s="9">
        <f>(B7+D7)*'55'!$D$1</f>
        <v>654.7857995505618</v>
      </c>
      <c r="F7" s="39">
        <v>653</v>
      </c>
      <c r="G7" s="39">
        <f>-E7+F7</f>
        <v>-1.7857995505618192</v>
      </c>
    </row>
    <row r="8" spans="1:7" s="35" customFormat="1" ht="15">
      <c r="A8" s="9" t="s">
        <v>260</v>
      </c>
      <c r="B8" s="60">
        <v>10</v>
      </c>
      <c r="C8" s="11">
        <v>0.86</v>
      </c>
      <c r="D8" s="9">
        <f>C8/$C$9*$D$9</f>
        <v>3.865168539325843</v>
      </c>
      <c r="E8" s="51"/>
      <c r="F8" s="52"/>
      <c r="G8" s="52"/>
    </row>
    <row r="9" spans="1:7" s="43" customFormat="1" ht="15">
      <c r="A9" s="41"/>
      <c r="B9" s="41"/>
      <c r="C9" s="41">
        <f>SUM(C4:C8)</f>
        <v>2.67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41414</v>
      </c>
      <c r="C1" s="31" t="s">
        <v>252</v>
      </c>
      <c r="D1" s="48">
        <v>31.47</v>
      </c>
      <c r="E1" s="28" t="s">
        <v>253</v>
      </c>
    </row>
    <row r="2" s="28" customFormat="1" ht="15">
      <c r="A2" s="46" t="s">
        <v>337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229</v>
      </c>
      <c r="B4" s="11">
        <v>9.12</v>
      </c>
      <c r="C4" s="11">
        <v>0.26</v>
      </c>
      <c r="D4" s="9">
        <f>C4/$C$9*$D$9</f>
        <v>1.177358490566038</v>
      </c>
      <c r="E4" s="9">
        <f>(B4+D4)*$D$1</f>
        <v>324.05787169811316</v>
      </c>
      <c r="F4" s="39">
        <v>330</v>
      </c>
      <c r="G4" s="39">
        <f>-E4+F4</f>
        <v>5.942128301886839</v>
      </c>
    </row>
    <row r="5" spans="1:7" s="35" customFormat="1" ht="15">
      <c r="A5" s="9" t="s">
        <v>86</v>
      </c>
      <c r="B5" s="11">
        <v>5.51</v>
      </c>
      <c r="C5" s="11">
        <v>0.08</v>
      </c>
      <c r="D5" s="9">
        <f>C5/$C$9*$D$9</f>
        <v>0.36226415094339626</v>
      </c>
      <c r="E5" s="9">
        <f>(B5+D5)*$D$1</f>
        <v>184.80015283018867</v>
      </c>
      <c r="F5" s="39">
        <v>188</v>
      </c>
      <c r="G5" s="39">
        <f>-E5+F5</f>
        <v>3.199847169811335</v>
      </c>
    </row>
    <row r="6" spans="1:7" s="35" customFormat="1" ht="15">
      <c r="A6" s="9" t="s">
        <v>143</v>
      </c>
      <c r="B6" s="11">
        <v>6.99</v>
      </c>
      <c r="C6" s="11">
        <v>0.64</v>
      </c>
      <c r="D6" s="9">
        <f>C6/$C$9*$D$9</f>
        <v>2.89811320754717</v>
      </c>
      <c r="E6" s="9">
        <f>(B6+D6)*$D$1</f>
        <v>311.1789226415095</v>
      </c>
      <c r="F6" s="39">
        <v>317</v>
      </c>
      <c r="G6" s="39">
        <f>-E6+F6</f>
        <v>5.821077358490527</v>
      </c>
    </row>
    <row r="7" spans="1:7" s="35" customFormat="1" ht="15">
      <c r="A7" s="9" t="s">
        <v>105</v>
      </c>
      <c r="B7" s="11">
        <v>37.97</v>
      </c>
      <c r="C7" s="11">
        <v>0.28</v>
      </c>
      <c r="D7" s="9">
        <f>C7/$C$9*$D$9</f>
        <v>1.267924528301887</v>
      </c>
      <c r="E7" s="9">
        <f>(B7+D7)*'55'!$D$1</f>
        <v>1183.415803773585</v>
      </c>
      <c r="F7" s="39">
        <v>1185</v>
      </c>
      <c r="G7" s="39">
        <f>-E7+F7</f>
        <v>1.584196226415088</v>
      </c>
    </row>
    <row r="8" spans="1:7" s="35" customFormat="1" ht="15">
      <c r="A8" s="9" t="s">
        <v>260</v>
      </c>
      <c r="B8" s="60">
        <v>29.13</v>
      </c>
      <c r="C8" s="11">
        <v>1.39</v>
      </c>
      <c r="D8" s="9">
        <f>C8/$C$9*$D$9</f>
        <v>6.294339622641509</v>
      </c>
      <c r="E8" s="51"/>
      <c r="F8" s="52"/>
      <c r="G8" s="52"/>
    </row>
    <row r="9" spans="1:7" s="43" customFormat="1" ht="15">
      <c r="A9" s="41"/>
      <c r="B9" s="41"/>
      <c r="C9" s="41">
        <f>SUM(C4:C8)</f>
        <v>2.65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A4" sqref="A4:C8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41418</v>
      </c>
      <c r="C1" s="31" t="s">
        <v>252</v>
      </c>
      <c r="D1" s="48">
        <v>31.32</v>
      </c>
      <c r="E1" s="28" t="s">
        <v>253</v>
      </c>
    </row>
    <row r="2" s="28" customFormat="1" ht="15">
      <c r="A2" s="46" t="s">
        <v>338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165</v>
      </c>
      <c r="B4" s="11">
        <v>5.25</v>
      </c>
      <c r="C4" s="11">
        <v>0.16</v>
      </c>
      <c r="D4" s="9">
        <f>C4/$C$9*$D$9</f>
        <v>0.7164179104477612</v>
      </c>
      <c r="E4" s="9">
        <f>(B4+D4)*$D$1</f>
        <v>186.86820895522388</v>
      </c>
      <c r="F4" s="39">
        <v>191</v>
      </c>
      <c r="G4" s="39">
        <f>-E4+F4</f>
        <v>4.131791044776122</v>
      </c>
    </row>
    <row r="5" spans="1:7" s="35" customFormat="1" ht="15">
      <c r="A5" s="9" t="s">
        <v>143</v>
      </c>
      <c r="B5" s="11">
        <v>6.99</v>
      </c>
      <c r="C5" s="11">
        <v>0.73</v>
      </c>
      <c r="D5" s="9">
        <f>C5/$C$9*$D$9</f>
        <v>3.26865671641791</v>
      </c>
      <c r="E5" s="9">
        <f>(B5+D5)*$D$1</f>
        <v>321.3011283582089</v>
      </c>
      <c r="F5" s="39">
        <v>328</v>
      </c>
      <c r="G5" s="39">
        <f>-E5+F5</f>
        <v>6.698871641791072</v>
      </c>
    </row>
    <row r="6" spans="1:7" s="35" customFormat="1" ht="15">
      <c r="A6" s="9" t="s">
        <v>84</v>
      </c>
      <c r="B6" s="11">
        <v>16.4</v>
      </c>
      <c r="C6" s="11">
        <v>0.56</v>
      </c>
      <c r="D6" s="9">
        <f>C6/$C$9*$D$9</f>
        <v>2.5074626865671643</v>
      </c>
      <c r="E6" s="9">
        <f>(B6+D6)*$D$1</f>
        <v>592.1817313432836</v>
      </c>
      <c r="F6" s="39">
        <v>605</v>
      </c>
      <c r="G6" s="39">
        <f>-E6+F6</f>
        <v>12.818268656716441</v>
      </c>
    </row>
    <row r="7" spans="1:7" s="35" customFormat="1" ht="15">
      <c r="A7" s="9" t="s">
        <v>43</v>
      </c>
      <c r="B7" s="11">
        <v>19.26</v>
      </c>
      <c r="C7" s="11">
        <v>0.65</v>
      </c>
      <c r="D7" s="9">
        <f>C7/$C$9*$D$9</f>
        <v>2.91044776119403</v>
      </c>
      <c r="E7" s="9">
        <f>(B7+D7)*'55'!$D$1</f>
        <v>668.6607044776121</v>
      </c>
      <c r="F7" s="39">
        <v>669</v>
      </c>
      <c r="G7" s="39">
        <f>-E7+F7</f>
        <v>0.3392955223879426</v>
      </c>
    </row>
    <row r="8" spans="1:7" s="35" customFormat="1" ht="15">
      <c r="A8" s="9" t="s">
        <v>69</v>
      </c>
      <c r="B8" s="60">
        <v>26.77</v>
      </c>
      <c r="C8" s="11">
        <v>0.58</v>
      </c>
      <c r="D8" s="9">
        <f>C8/$C$9*$D$9</f>
        <v>2.597014925373134</v>
      </c>
      <c r="E8" s="9">
        <f>(B8+D8)*'55'!$D$1</f>
        <v>885.7091701492537</v>
      </c>
      <c r="F8" s="39">
        <v>885</v>
      </c>
      <c r="G8" s="39">
        <f>-E8+F8</f>
        <v>-0.7091701492537368</v>
      </c>
    </row>
    <row r="9" spans="1:7" s="43" customFormat="1" ht="15">
      <c r="A9" s="41"/>
      <c r="B9" s="41"/>
      <c r="C9" s="41">
        <f>SUM(C4:C8)</f>
        <v>2.68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indexed="10"/>
  </sheetPr>
  <dimension ref="A1:G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41425</v>
      </c>
      <c r="C1" s="31" t="s">
        <v>252</v>
      </c>
      <c r="D1" s="48">
        <v>31.8</v>
      </c>
      <c r="E1" s="28" t="s">
        <v>253</v>
      </c>
    </row>
    <row r="2" s="28" customFormat="1" ht="15">
      <c r="A2" s="46" t="s">
        <v>339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69</v>
      </c>
      <c r="B4" s="11">
        <v>8.6</v>
      </c>
      <c r="C4" s="11">
        <v>0.48</v>
      </c>
      <c r="D4" s="9">
        <f aca="true" t="shared" si="0" ref="D4:D9">C4/$C$10*$D$10</f>
        <v>2.117647058823529</v>
      </c>
      <c r="E4" s="9">
        <f>(B4+D4)*$D$1</f>
        <v>340.8211764705882</v>
      </c>
      <c r="F4" s="39">
        <v>346</v>
      </c>
      <c r="G4" s="39">
        <f>-E4+F4</f>
        <v>5.178823529411773</v>
      </c>
    </row>
    <row r="5" spans="1:7" s="35" customFormat="1" ht="15">
      <c r="A5" s="9" t="s">
        <v>266</v>
      </c>
      <c r="B5" s="11">
        <v>9.14</v>
      </c>
      <c r="C5" s="11">
        <v>0.62</v>
      </c>
      <c r="D5" s="9">
        <f t="shared" si="0"/>
        <v>2.735294117647059</v>
      </c>
      <c r="E5" s="9">
        <f>(B5+D5)*$D$1</f>
        <v>377.6343529411765</v>
      </c>
      <c r="F5" s="39">
        <v>382</v>
      </c>
      <c r="G5" s="39">
        <f>-E5+F5</f>
        <v>4.3656470588235265</v>
      </c>
    </row>
    <row r="6" spans="1:7" s="35" customFormat="1" ht="15">
      <c r="A6" s="9" t="s">
        <v>165</v>
      </c>
      <c r="B6" s="11">
        <v>4.85</v>
      </c>
      <c r="C6" s="11">
        <v>0.62</v>
      </c>
      <c r="D6" s="9">
        <f t="shared" si="0"/>
        <v>2.735294117647059</v>
      </c>
      <c r="E6" s="9">
        <f>(B6+D6)*$D$1</f>
        <v>241.21235294117648</v>
      </c>
      <c r="F6" s="39">
        <f>240</f>
        <v>240</v>
      </c>
      <c r="G6" s="39">
        <f>-E6+F6</f>
        <v>-1.2123529411764764</v>
      </c>
    </row>
    <row r="7" spans="1:7" s="35" customFormat="1" ht="15">
      <c r="A7" s="9" t="s">
        <v>267</v>
      </c>
      <c r="B7" s="11">
        <v>31.98</v>
      </c>
      <c r="C7" s="11">
        <v>0.91</v>
      </c>
      <c r="D7" s="9">
        <f t="shared" si="0"/>
        <v>4.014705882352941</v>
      </c>
      <c r="E7" s="9">
        <f>(B7+D7)*'55'!$D$1</f>
        <v>1085.6003294117647</v>
      </c>
      <c r="F7" s="39">
        <v>1086</v>
      </c>
      <c r="G7" s="39">
        <f>-E7+F7</f>
        <v>0.39967058823526713</v>
      </c>
    </row>
    <row r="8" spans="1:7" s="35" customFormat="1" ht="15">
      <c r="A8" s="9" t="s">
        <v>140</v>
      </c>
      <c r="B8" s="60">
        <v>3.05</v>
      </c>
      <c r="C8" s="11">
        <v>0.06</v>
      </c>
      <c r="D8" s="9">
        <f t="shared" si="0"/>
        <v>0.2647058823529411</v>
      </c>
      <c r="E8" s="9">
        <f>(B8+D8)*'55'!$D$1</f>
        <v>99.9715294117647</v>
      </c>
      <c r="F8" s="39">
        <v>100</v>
      </c>
      <c r="G8" s="39">
        <f>-E8+F8</f>
        <v>0.028470588235293803</v>
      </c>
    </row>
    <row r="9" spans="1:7" s="35" customFormat="1" ht="15">
      <c r="A9" s="9" t="s">
        <v>260</v>
      </c>
      <c r="B9" s="60">
        <v>2.53</v>
      </c>
      <c r="C9" s="11">
        <v>0.03</v>
      </c>
      <c r="D9" s="9">
        <f t="shared" si="0"/>
        <v>0.13235294117647056</v>
      </c>
      <c r="E9" s="51"/>
      <c r="F9" s="52"/>
      <c r="G9" s="52"/>
    </row>
    <row r="10" spans="1:7" s="43" customFormat="1" ht="15">
      <c r="A10" s="41"/>
      <c r="B10" s="41"/>
      <c r="C10" s="41">
        <f>SUM(C4:C9)</f>
        <v>2.72</v>
      </c>
      <c r="D10" s="41">
        <v>12</v>
      </c>
      <c r="E10" s="41"/>
      <c r="F10" s="41"/>
      <c r="G10" s="41"/>
    </row>
    <row r="13" ht="31.5">
      <c r="A13" s="49"/>
    </row>
    <row r="14" ht="31.5">
      <c r="A14" s="49"/>
    </row>
    <row r="15" ht="15">
      <c r="A15" s="38"/>
    </row>
    <row r="16" ht="15">
      <c r="A16" s="38"/>
    </row>
    <row r="17" ht="15">
      <c r="A17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H14" sqref="H14:H18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41425</v>
      </c>
      <c r="C1" s="31" t="s">
        <v>252</v>
      </c>
      <c r="D1" s="48">
        <v>31.8</v>
      </c>
      <c r="E1" s="28" t="s">
        <v>253</v>
      </c>
    </row>
    <row r="2" s="28" customFormat="1" ht="15">
      <c r="A2" s="46" t="s">
        <v>339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65</v>
      </c>
      <c r="B4" s="11">
        <v>4.85</v>
      </c>
      <c r="C4" s="11">
        <v>0.62</v>
      </c>
      <c r="D4" s="9">
        <f>C4/$C$9*$D$9</f>
        <v>2.735294117647059</v>
      </c>
      <c r="E4" s="9">
        <f>(B4+D4)*$D$1</f>
        <v>241.21235294117648</v>
      </c>
      <c r="F4" s="39">
        <v>244</v>
      </c>
      <c r="G4" s="39">
        <f>-E4+F4</f>
        <v>2.7876470588235236</v>
      </c>
    </row>
    <row r="5" spans="1:7" s="35" customFormat="1" ht="15">
      <c r="A5" s="9" t="s">
        <v>224</v>
      </c>
      <c r="B5" s="11">
        <v>7.63</v>
      </c>
      <c r="C5" s="11">
        <v>0.1</v>
      </c>
      <c r="D5" s="9">
        <f>C5/$C$9*$D$9</f>
        <v>0.4411764705882353</v>
      </c>
      <c r="E5" s="9">
        <f>(B5+D5)*$D$1</f>
        <v>256.66341176470587</v>
      </c>
      <c r="F5" s="39">
        <v>260</v>
      </c>
      <c r="G5" s="39">
        <f>-E5+F5</f>
        <v>3.33658823529413</v>
      </c>
    </row>
    <row r="6" spans="1:7" s="35" customFormat="1" ht="15">
      <c r="A6" s="9" t="s">
        <v>73</v>
      </c>
      <c r="B6" s="11">
        <v>12.58</v>
      </c>
      <c r="C6" s="11">
        <v>0.67</v>
      </c>
      <c r="D6" s="9">
        <f>C6/$C$9*$D$9</f>
        <v>2.955882352941176</v>
      </c>
      <c r="E6" s="9">
        <f>(B6+D6)*$D$1</f>
        <v>494.0410588235294</v>
      </c>
      <c r="F6" s="39">
        <v>501</v>
      </c>
      <c r="G6" s="39">
        <f>-E6+F6</f>
        <v>6.958941176470603</v>
      </c>
    </row>
    <row r="7" spans="1:7" s="35" customFormat="1" ht="15">
      <c r="A7" s="9" t="s">
        <v>340</v>
      </c>
      <c r="B7" s="11">
        <v>9.41</v>
      </c>
      <c r="C7" s="11">
        <v>0.52</v>
      </c>
      <c r="D7" s="9">
        <f>C7/$C$9*$D$9</f>
        <v>2.2941176470588234</v>
      </c>
      <c r="E7" s="9">
        <f>(B7+D7)*'55'!$D$1</f>
        <v>352.9961882352941</v>
      </c>
      <c r="F7" s="39">
        <v>353</v>
      </c>
      <c r="G7" s="39">
        <f>-E7+F7</f>
        <v>0.003811764705915266</v>
      </c>
    </row>
    <row r="8" spans="1:7" s="35" customFormat="1" ht="15">
      <c r="A8" s="9" t="s">
        <v>260</v>
      </c>
      <c r="B8" s="60">
        <v>47.86</v>
      </c>
      <c r="C8" s="11">
        <v>0.81</v>
      </c>
      <c r="D8" s="9">
        <f>C8/$C$9*$D$9</f>
        <v>3.5735294117647056</v>
      </c>
      <c r="E8" s="51"/>
      <c r="F8" s="52"/>
      <c r="G8" s="52"/>
    </row>
    <row r="9" spans="1:7" s="43" customFormat="1" ht="15">
      <c r="A9" s="41"/>
      <c r="B9" s="41"/>
      <c r="C9" s="41">
        <f>SUM(C4:C8)</f>
        <v>2.72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D25" sqref="D25:D26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41432</v>
      </c>
      <c r="C1" s="31" t="s">
        <v>252</v>
      </c>
      <c r="D1" s="48">
        <v>32.9</v>
      </c>
      <c r="E1" s="28" t="s">
        <v>253</v>
      </c>
    </row>
    <row r="2" s="28" customFormat="1" ht="15">
      <c r="A2" s="46" t="s">
        <v>341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227</v>
      </c>
      <c r="B4" s="11">
        <v>24.97</v>
      </c>
      <c r="C4" s="11">
        <v>0.18</v>
      </c>
      <c r="D4" s="9">
        <f>C4/$C$7*$D$7</f>
        <v>0.7970479704797049</v>
      </c>
      <c r="E4" s="9">
        <f>(B4+D4)*$D$1</f>
        <v>847.7358782287822</v>
      </c>
      <c r="F4" s="39">
        <v>847</v>
      </c>
      <c r="G4" s="39">
        <f>-E4+F4</f>
        <v>-0.7358782287822123</v>
      </c>
    </row>
    <row r="5" spans="1:7" s="35" customFormat="1" ht="15">
      <c r="A5" s="9" t="s">
        <v>65</v>
      </c>
      <c r="B5" s="11">
        <v>11.82</v>
      </c>
      <c r="C5" s="11">
        <v>0.12</v>
      </c>
      <c r="D5" s="9">
        <f>C5/$C$7*$D$7</f>
        <v>0.5313653136531364</v>
      </c>
      <c r="E5" s="9">
        <f>(B5+D5)*$D$1</f>
        <v>406.3599188191882</v>
      </c>
      <c r="F5" s="39">
        <v>403</v>
      </c>
      <c r="G5" s="39">
        <f>-E5+F5</f>
        <v>-3.359918819188181</v>
      </c>
    </row>
    <row r="6" spans="1:7" s="35" customFormat="1" ht="15">
      <c r="A6" s="9" t="s">
        <v>260</v>
      </c>
      <c r="B6" s="60">
        <v>54.79</v>
      </c>
      <c r="C6" s="11">
        <v>2.41</v>
      </c>
      <c r="D6" s="9">
        <f>C6/$C$7*$D$7</f>
        <v>10.671586715867159</v>
      </c>
      <c r="E6" s="51"/>
      <c r="F6" s="52"/>
      <c r="G6" s="52"/>
    </row>
    <row r="7" spans="1:7" s="43" customFormat="1" ht="15">
      <c r="A7" s="41"/>
      <c r="B7" s="41"/>
      <c r="C7" s="41">
        <f>SUM(C4:C6)</f>
        <v>2.71</v>
      </c>
      <c r="D7" s="41">
        <v>12</v>
      </c>
      <c r="E7" s="41"/>
      <c r="F7" s="41"/>
      <c r="G7" s="41"/>
    </row>
    <row r="10" ht="31.5">
      <c r="A10" s="49"/>
    </row>
    <row r="11" ht="31.5">
      <c r="A11" s="49"/>
    </row>
    <row r="12" ht="15">
      <c r="A12" s="38"/>
    </row>
    <row r="13" ht="15">
      <c r="A13" s="38"/>
    </row>
    <row r="14" ht="15">
      <c r="A1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</cols>
  <sheetData>
    <row r="1" spans="1:5" s="28" customFormat="1" ht="21">
      <c r="A1" s="29" t="s">
        <v>251</v>
      </c>
      <c r="B1" s="30">
        <v>41432</v>
      </c>
      <c r="C1" s="31" t="s">
        <v>252</v>
      </c>
      <c r="D1" s="48">
        <v>32.9</v>
      </c>
      <c r="E1" s="28" t="s">
        <v>253</v>
      </c>
    </row>
    <row r="2" s="28" customFormat="1" ht="15">
      <c r="A2" s="46" t="s">
        <v>341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124</v>
      </c>
      <c r="B4" s="11">
        <v>12.67</v>
      </c>
      <c r="C4" s="11">
        <v>0.79</v>
      </c>
      <c r="D4" s="9">
        <f>C4/$C$6*$D$6</f>
        <v>4.463276836158192</v>
      </c>
      <c r="E4" s="9">
        <f>(B4+D4)*$D$1</f>
        <v>563.6848079096045</v>
      </c>
      <c r="F4" s="39">
        <v>563</v>
      </c>
      <c r="G4" s="39">
        <f>-E4+F4</f>
        <v>-0.6848079096045012</v>
      </c>
    </row>
    <row r="5" spans="1:7" s="35" customFormat="1" ht="15">
      <c r="A5" s="9" t="s">
        <v>216</v>
      </c>
      <c r="B5" s="11">
        <v>67.35</v>
      </c>
      <c r="C5" s="11">
        <v>0.98</v>
      </c>
      <c r="D5" s="9">
        <f>C5/$C$6*$D$6</f>
        <v>5.536723163841808</v>
      </c>
      <c r="E5" s="9">
        <f>(B5+D5)*$D$1</f>
        <v>2397.9731920903955</v>
      </c>
      <c r="F5" s="39">
        <v>2400</v>
      </c>
      <c r="G5" s="39">
        <f>-E5+F5</f>
        <v>2.0268079096044858</v>
      </c>
    </row>
    <row r="6" spans="1:7" s="43" customFormat="1" ht="15">
      <c r="A6" s="41"/>
      <c r="B6" s="41"/>
      <c r="C6" s="41">
        <f>SUM(C4:C5)</f>
        <v>1.77</v>
      </c>
      <c r="D6" s="41">
        <v>10</v>
      </c>
      <c r="E6" s="41"/>
      <c r="F6" s="41"/>
      <c r="G6" s="41"/>
    </row>
    <row r="9" ht="31.5">
      <c r="A9" s="49"/>
    </row>
    <row r="10" ht="31.5">
      <c r="A10" s="49"/>
    </row>
    <row r="11" ht="15">
      <c r="A11" s="38"/>
    </row>
    <row r="12" ht="15">
      <c r="A12" s="38"/>
    </row>
    <row r="13" ht="15">
      <c r="A13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view="pageBreakPreview" zoomScale="80" zoomScaleSheetLayoutView="80" zoomScalePageLayoutView="0" workbookViewId="0" topLeftCell="A1">
      <selection activeCell="H5" sqref="H5"/>
    </sheetView>
  </sheetViews>
  <sheetFormatPr defaultColWidth="9.140625" defaultRowHeight="15"/>
  <cols>
    <col min="1" max="1" width="15.421875" style="0" customWidth="1"/>
    <col min="2" max="2" width="15.28125" style="0" customWidth="1"/>
    <col min="3" max="3" width="12.7109375" style="0" customWidth="1"/>
    <col min="4" max="4" width="14.7109375" style="0" customWidth="1"/>
    <col min="5" max="6" width="11.7109375" style="0" customWidth="1"/>
    <col min="7" max="7" width="11.8515625" style="0" customWidth="1"/>
    <col min="8" max="8" width="22.7109375" style="0" customWidth="1"/>
  </cols>
  <sheetData>
    <row r="1" spans="1:5" s="28" customFormat="1" ht="21">
      <c r="A1" s="29" t="s">
        <v>251</v>
      </c>
      <c r="B1" s="30">
        <v>41459</v>
      </c>
      <c r="C1" s="31" t="s">
        <v>252</v>
      </c>
      <c r="D1" s="48">
        <v>33.22</v>
      </c>
      <c r="E1" s="28" t="s">
        <v>253</v>
      </c>
    </row>
    <row r="2" s="28" customFormat="1" ht="15">
      <c r="A2" s="46" t="s">
        <v>342</v>
      </c>
    </row>
    <row r="3" spans="1:7" s="35" customFormat="1" ht="30" customHeight="1">
      <c r="A3" s="33" t="s">
        <v>254</v>
      </c>
      <c r="B3" s="34" t="s">
        <v>255</v>
      </c>
      <c r="C3" s="34" t="s">
        <v>256</v>
      </c>
      <c r="D3" s="34" t="s">
        <v>257</v>
      </c>
      <c r="E3" s="33" t="s">
        <v>258</v>
      </c>
      <c r="F3" s="33" t="s">
        <v>259</v>
      </c>
      <c r="G3" s="33" t="s">
        <v>263</v>
      </c>
    </row>
    <row r="4" spans="1:7" s="35" customFormat="1" ht="15">
      <c r="A4" s="9" t="s">
        <v>165</v>
      </c>
      <c r="B4" s="11">
        <v>20.8</v>
      </c>
      <c r="C4" s="11">
        <v>1.16</v>
      </c>
      <c r="D4" s="9">
        <f>C4/$C$9*$D$9</f>
        <v>5.213483146067414</v>
      </c>
      <c r="E4" s="9">
        <f>(B4+D4)*$D$1</f>
        <v>864.1679101123596</v>
      </c>
      <c r="F4" s="39">
        <v>881</v>
      </c>
      <c r="G4" s="39">
        <f>-E4+F4</f>
        <v>16.83208988764045</v>
      </c>
    </row>
    <row r="5" spans="1:8" s="35" customFormat="1" ht="30">
      <c r="A5" s="9" t="s">
        <v>147</v>
      </c>
      <c r="B5" s="11">
        <v>11.14</v>
      </c>
      <c r="C5" s="11">
        <v>0.76</v>
      </c>
      <c r="D5" s="9">
        <f>C5/$C$9*$D$9</f>
        <v>3.415730337078651</v>
      </c>
      <c r="E5" s="9">
        <f>(B5+D5)*$D$1</f>
        <v>483.5413617977528</v>
      </c>
      <c r="F5" s="39">
        <v>705</v>
      </c>
      <c r="G5" s="39">
        <f>-E5+F5-6</f>
        <v>215.4586382022472</v>
      </c>
      <c r="H5" s="63" t="s">
        <v>343</v>
      </c>
    </row>
    <row r="6" spans="1:7" s="35" customFormat="1" ht="15">
      <c r="A6" s="9" t="s">
        <v>266</v>
      </c>
      <c r="B6" s="11">
        <v>17.68</v>
      </c>
      <c r="C6" s="11">
        <v>0.24</v>
      </c>
      <c r="D6" s="9">
        <f>C6/$C$9*$D$9</f>
        <v>1.0786516853932582</v>
      </c>
      <c r="E6" s="9">
        <f>(B6+D6)*$D$1</f>
        <v>623.162408988764</v>
      </c>
      <c r="F6" s="39">
        <v>601</v>
      </c>
      <c r="G6" s="39">
        <f>-E6+F6</f>
        <v>-22.162408988764014</v>
      </c>
    </row>
    <row r="7" spans="1:7" s="35" customFormat="1" ht="15">
      <c r="A7" s="9" t="s">
        <v>154</v>
      </c>
      <c r="B7" s="11">
        <v>4.54</v>
      </c>
      <c r="C7" s="11">
        <v>0.16</v>
      </c>
      <c r="D7" s="9">
        <f>C7/$C$9*$D$9</f>
        <v>0.7191011235955056</v>
      </c>
      <c r="E7" s="9">
        <f>(B7+D7)*$D$1</f>
        <v>174.7073393258427</v>
      </c>
      <c r="F7" s="39">
        <v>178</v>
      </c>
      <c r="G7" s="39">
        <f>-E7+F7</f>
        <v>3.292660674157304</v>
      </c>
    </row>
    <row r="8" spans="1:7" s="35" customFormat="1" ht="15">
      <c r="A8" s="9" t="s">
        <v>159</v>
      </c>
      <c r="B8" s="60">
        <v>46.33</v>
      </c>
      <c r="C8" s="11">
        <v>0.35</v>
      </c>
      <c r="D8" s="9">
        <f>C8/$C$9*$D$9</f>
        <v>1.5730337078651684</v>
      </c>
      <c r="E8" s="9">
        <f>(B8+D8)*$D$1</f>
        <v>1591.338779775281</v>
      </c>
      <c r="F8" s="39">
        <v>2363</v>
      </c>
      <c r="G8" s="39">
        <f>-E8+F8</f>
        <v>771.661220224719</v>
      </c>
    </row>
    <row r="9" spans="1:7" s="43" customFormat="1" ht="15">
      <c r="A9" s="41"/>
      <c r="B9" s="41"/>
      <c r="C9" s="41">
        <f>SUM(C4:C8)</f>
        <v>2.6700000000000004</v>
      </c>
      <c r="D9" s="41">
        <v>12</v>
      </c>
      <c r="E9" s="41"/>
      <c r="F9" s="41"/>
      <c r="G9" s="41"/>
    </row>
    <row r="12" ht="31.5">
      <c r="A12" s="49"/>
    </row>
    <row r="13" ht="31.5">
      <c r="A13" s="49"/>
    </row>
    <row r="14" ht="15">
      <c r="A14" s="38"/>
    </row>
    <row r="15" ht="15">
      <c r="A15" s="38"/>
    </row>
    <row r="16" ht="15">
      <c r="A1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modified xsi:type="dcterms:W3CDTF">2015-01-05T10:49:51Z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