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70" yWindow="65431" windowWidth="15720" windowHeight="1176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-" sheetId="6" r:id="rId6"/>
  </sheets>
  <definedNames/>
  <calcPr fullCalcOnLoad="1"/>
</workbook>
</file>

<file path=xl/comments1.xml><?xml version="1.0" encoding="utf-8"?>
<comments xmlns="http://schemas.openxmlformats.org/spreadsheetml/2006/main">
  <authors>
    <author>Alex</author>
  </authors>
  <commentList>
    <comment ref="E3" authorId="0">
      <text>
        <r>
          <rPr>
            <b/>
            <sz val="9"/>
            <rFont val="Tahoma"/>
            <family val="2"/>
          </rPr>
          <t xml:space="preserve">услуги посредника, страховка, тара, комиссия платежной системы, доставка в РФ
</t>
        </r>
      </text>
    </comment>
  </commentList>
</comments>
</file>

<file path=xl/comments2.xml><?xml version="1.0" encoding="utf-8"?>
<comments xmlns="http://schemas.openxmlformats.org/spreadsheetml/2006/main">
  <authors>
    <author>Alex</author>
  </authors>
  <commentList>
    <comment ref="E3" authorId="0">
      <text>
        <r>
          <rPr>
            <b/>
            <sz val="9"/>
            <rFont val="Tahoma"/>
            <family val="2"/>
          </rPr>
          <t xml:space="preserve">услуги посредника, страховка, тара, комиссия платежной системы, доставка в РФ
</t>
        </r>
      </text>
    </comment>
  </commentList>
</comments>
</file>

<file path=xl/comments3.xml><?xml version="1.0" encoding="utf-8"?>
<comments xmlns="http://schemas.openxmlformats.org/spreadsheetml/2006/main">
  <authors>
    <author>Alex</author>
  </authors>
  <commentList>
    <comment ref="E3" authorId="0">
      <text>
        <r>
          <rPr>
            <b/>
            <sz val="9"/>
            <rFont val="Tahoma"/>
            <family val="2"/>
          </rPr>
          <t xml:space="preserve">услуги посредника, страховка, тара, комиссия платежной системы, доставка в РФ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услуги посредника, страховка, тара, комиссия платежной системы, доставка в РФ
</t>
        </r>
      </text>
    </comment>
    <comment ref="E26" authorId="0">
      <text>
        <r>
          <rPr>
            <b/>
            <sz val="9"/>
            <rFont val="Tahoma"/>
            <family val="2"/>
          </rPr>
          <t xml:space="preserve">услуги посредника, страховка, тара, комиссия платежной системы, доставка в РФ
</t>
        </r>
      </text>
    </comment>
    <comment ref="G23" authorId="0">
      <text>
        <r>
          <rPr>
            <b/>
            <sz val="9"/>
            <rFont val="Tahoma"/>
            <family val="2"/>
          </rPr>
          <t>в ячейке учтен фактический курс</t>
        </r>
        <r>
          <rPr>
            <sz val="9"/>
            <rFont val="Tahoma"/>
            <family val="2"/>
          </rPr>
          <t xml:space="preserve">
</t>
        </r>
      </text>
    </comment>
    <comment ref="G27" authorId="0">
      <text>
        <r>
          <rPr>
            <b/>
            <sz val="9"/>
            <rFont val="Tahoma"/>
            <family val="2"/>
          </rPr>
          <t>в ячейке учтен фактический курс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Alex</author>
  </authors>
  <commentList>
    <comment ref="E3" authorId="0">
      <text>
        <r>
          <rPr>
            <b/>
            <sz val="9"/>
            <rFont val="Tahoma"/>
            <family val="2"/>
          </rPr>
          <t xml:space="preserve">услуги посредника, страховка, тара, комиссия платежной системы, доставка в РФ
</t>
        </r>
      </text>
    </comment>
    <comment ref="E22" authorId="0">
      <text>
        <r>
          <rPr>
            <b/>
            <sz val="9"/>
            <rFont val="Tahoma"/>
            <family val="2"/>
          </rPr>
          <t xml:space="preserve">услуги посредника, страховка, тара, комиссия платежной системы, доставка в РФ
</t>
        </r>
      </text>
    </comment>
    <comment ref="G23" authorId="0">
      <text>
        <r>
          <rPr>
            <b/>
            <sz val="9"/>
            <rFont val="Tahoma"/>
            <family val="2"/>
          </rPr>
          <t>в ячейке учтен фактический курс</t>
        </r>
        <r>
          <rPr>
            <sz val="9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9"/>
            <rFont val="Tahoma"/>
            <family val="2"/>
          </rPr>
          <t>в ячейке учтен фактический курс</t>
        </r>
        <r>
          <rPr>
            <sz val="9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9"/>
            <rFont val="Tahoma"/>
            <family val="2"/>
          </rPr>
          <t>в ячейке учтен фактический курс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b/>
            <sz val="9"/>
            <rFont val="Tahoma"/>
            <family val="2"/>
          </rPr>
          <t>в ячейке учтен фактический курс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Alex</author>
  </authors>
  <commentList>
    <comment ref="E3" authorId="0">
      <text>
        <r>
          <rPr>
            <b/>
            <sz val="9"/>
            <rFont val="Tahoma"/>
            <family val="2"/>
          </rPr>
          <t xml:space="preserve">услуги посредника, страховка, тара, комиссия платежной системы, доставка в РФ
</t>
        </r>
      </text>
    </comment>
  </commentList>
</comments>
</file>

<file path=xl/sharedStrings.xml><?xml version="1.0" encoding="utf-8"?>
<sst xmlns="http://schemas.openxmlformats.org/spreadsheetml/2006/main" count="254" uniqueCount="105">
  <si>
    <t>ДАТА:</t>
  </si>
  <si>
    <t>НИК УЗ</t>
  </si>
  <si>
    <t>Оплачено, руб</t>
  </si>
  <si>
    <t>Долг (-), переплата (+)
руб.</t>
  </si>
  <si>
    <t>я</t>
  </si>
  <si>
    <t>shsh</t>
  </si>
  <si>
    <t>Стоимость заказа, фунты</t>
  </si>
  <si>
    <t>ИТОГО, 
фунты</t>
  </si>
  <si>
    <t>руб/фунт</t>
  </si>
  <si>
    <t>Стоимость доставки по АНГЛИИ, фунты</t>
  </si>
  <si>
    <t>Услуги посредника и доставка в РФ, фунты</t>
  </si>
  <si>
    <t>К оплате</t>
  </si>
  <si>
    <t>часть 1</t>
  </si>
  <si>
    <t>часть 2</t>
  </si>
  <si>
    <t>Валерка</t>
  </si>
  <si>
    <t>Инес Афинская</t>
  </si>
  <si>
    <t>katyonash</t>
  </si>
  <si>
    <t>Ольга.Ru</t>
  </si>
  <si>
    <t>julary</t>
  </si>
  <si>
    <t>lena_vs</t>
  </si>
  <si>
    <t>luddy</t>
  </si>
  <si>
    <t>Клевер удачи</t>
  </si>
  <si>
    <t xml:space="preserve">Катрунасия  </t>
  </si>
  <si>
    <t>Di Na</t>
  </si>
  <si>
    <t>sewa11</t>
  </si>
  <si>
    <t>ТатьянаРоманова</t>
  </si>
  <si>
    <t>Жекин</t>
  </si>
  <si>
    <t>Moskoun</t>
  </si>
  <si>
    <t>Janey</t>
  </si>
  <si>
    <t>Bizkit</t>
  </si>
  <si>
    <t>Дресскод</t>
  </si>
  <si>
    <t>S_Dina</t>
  </si>
  <si>
    <t>ОРГ,
10%</t>
  </si>
  <si>
    <r>
      <t xml:space="preserve">Курс 1 </t>
    </r>
    <r>
      <rPr>
        <sz val="10"/>
        <color indexed="8"/>
        <rFont val="Calibri"/>
        <family val="2"/>
      </rPr>
      <t>(заказ)</t>
    </r>
  </si>
  <si>
    <r>
      <t xml:space="preserve">Курс 2 </t>
    </r>
    <r>
      <rPr>
        <sz val="10"/>
        <color indexed="8"/>
        <rFont val="Calibri"/>
        <family val="2"/>
      </rPr>
      <t>(посредник)</t>
    </r>
  </si>
  <si>
    <t>Лис-и4-ка</t>
  </si>
  <si>
    <t>33 р убрала на ракутен 8</t>
  </si>
  <si>
    <t xml:space="preserve">Девушки, у кого был в заказе серум с витамином С, его отправили отдельной посылкой, у поставщика не было какого-то компонента, поэтому он сделал досыл, </t>
  </si>
  <si>
    <t>но нам дополнительно не надо будет ничего оплачивать!</t>
  </si>
  <si>
    <t>как получу серум, так всем разошлю лс.</t>
  </si>
  <si>
    <t>hellcat222</t>
  </si>
  <si>
    <t>Svetik_nv</t>
  </si>
  <si>
    <t xml:space="preserve">Elenn  </t>
  </si>
  <si>
    <t>Юл83</t>
  </si>
  <si>
    <t>Tanitta2009</t>
  </si>
  <si>
    <t xml:space="preserve">Сини4ка  </t>
  </si>
  <si>
    <t>Djessika</t>
  </si>
  <si>
    <t>АняБ</t>
  </si>
  <si>
    <t>Meduza7</t>
  </si>
  <si>
    <t>maria1300</t>
  </si>
  <si>
    <t>Amic@</t>
  </si>
  <si>
    <t>EnotOxx</t>
  </si>
  <si>
    <t>Я-Лена</t>
  </si>
  <si>
    <t>*Natusik*</t>
  </si>
  <si>
    <t>oxygen2610</t>
  </si>
  <si>
    <t>Анюточка8605</t>
  </si>
  <si>
    <t xml:space="preserve">Яшеничка </t>
  </si>
  <si>
    <t>Мусенок любящий Печенье</t>
  </si>
  <si>
    <t>Nastenka82</t>
  </si>
  <si>
    <t>56 р перенесла с парфюма.</t>
  </si>
  <si>
    <t>и перекид 20.11!</t>
  </si>
  <si>
    <t>lensh</t>
  </si>
  <si>
    <t>Aussie</t>
  </si>
  <si>
    <t>gloriya1</t>
  </si>
  <si>
    <t>f.irina</t>
  </si>
  <si>
    <t>Julia$</t>
  </si>
  <si>
    <t xml:space="preserve">Laina </t>
  </si>
  <si>
    <t>Zhannusya</t>
  </si>
  <si>
    <t>Fruittella</t>
  </si>
  <si>
    <t>Тарасова</t>
  </si>
  <si>
    <t>Медведица</t>
  </si>
  <si>
    <t>Helen_D</t>
  </si>
  <si>
    <t>Разведка2004</t>
  </si>
  <si>
    <t>http://www.sr-skincare.co.uk/alpha-clear-mandelic-acid--orangewater-clarifying-toner-12-p.asp </t>
  </si>
  <si>
    <t>http://www.sr-skincare.co.uk/alpha-clear-mandelic-acid--orangewater-clarifying-toner-12-p.asp</t>
  </si>
  <si>
    <t>Ternura</t>
  </si>
  <si>
    <t>sr-skincare</t>
  </si>
  <si>
    <t>renskincare, balanceme</t>
  </si>
  <si>
    <t>Не было:</t>
  </si>
  <si>
    <t>amazon</t>
  </si>
  <si>
    <t>Katya May</t>
  </si>
  <si>
    <t>renskincare с сайта allbeauty</t>
  </si>
  <si>
    <t>Оля&amp;Никита</t>
  </si>
  <si>
    <t>Елена Скорик</t>
  </si>
  <si>
    <t>Lutiko</t>
  </si>
  <si>
    <t>*Милая*</t>
  </si>
  <si>
    <t>menthol</t>
  </si>
  <si>
    <t>Solushka</t>
  </si>
  <si>
    <t>shsh  </t>
  </si>
  <si>
    <t>EkaterinaTs</t>
  </si>
  <si>
    <t>Ksjunik</t>
  </si>
  <si>
    <t>Irisirisich</t>
  </si>
  <si>
    <t>Natysik18</t>
  </si>
  <si>
    <t>Janey 1</t>
  </si>
  <si>
    <t>Janey 2</t>
  </si>
  <si>
    <t>69 р убрала в счет масла для кутикулы</t>
  </si>
  <si>
    <t>TattiLu</t>
  </si>
  <si>
    <t>Ивети</t>
  </si>
  <si>
    <t xml:space="preserve">Solushka  </t>
  </si>
  <si>
    <t>бубль гум)</t>
  </si>
  <si>
    <t>еекатерина</t>
  </si>
  <si>
    <t>vfkbyf</t>
  </si>
  <si>
    <t>arunrie</t>
  </si>
  <si>
    <t>Доставка в РФ будет учтена по приходу!</t>
  </si>
  <si>
    <t>По приходу также уточню фактический курс списания.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</si>
</sst>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1"/>
      <color indexed="10"/>
      <name val="Calibri"/>
      <family val="2"/>
    </font>
    <font>
      <b/>
      <sz val="24"/>
      <color indexed="10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i/>
      <sz val="11"/>
      <color indexed="48"/>
      <name val="Calibri"/>
      <family val="2"/>
    </font>
    <font>
      <b/>
      <sz val="20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  <font>
      <b/>
      <sz val="24"/>
      <color rgb="FFFF0000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rgb="FF000000"/>
      <name val="Calibri"/>
      <family val="2"/>
    </font>
    <font>
      <u val="single"/>
      <sz val="11"/>
      <color rgb="FF0000FF"/>
      <name val="Calibri"/>
      <family val="2"/>
    </font>
    <font>
      <b/>
      <i/>
      <sz val="11"/>
      <color rgb="FF3333FF"/>
      <name val="Calibri"/>
      <family val="2"/>
    </font>
    <font>
      <b/>
      <sz val="20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51" fillId="33" borderId="0" xfId="0" applyFont="1" applyFill="1" applyAlignment="1">
      <alignment horizontal="center"/>
    </xf>
    <xf numFmtId="14" fontId="52" fillId="33" borderId="0" xfId="0" applyNumberFormat="1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0" fontId="2" fillId="33" borderId="11" xfId="42" applyFont="1" applyFill="1" applyBorder="1" applyAlignment="1" applyProtection="1">
      <alignment/>
      <protection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1" fontId="53" fillId="34" borderId="10" xfId="0" applyNumberFormat="1" applyFont="1" applyFill="1" applyBorder="1" applyAlignment="1">
      <alignment/>
    </xf>
    <xf numFmtId="0" fontId="3" fillId="34" borderId="11" xfId="42" applyFont="1" applyFill="1" applyBorder="1" applyAlignment="1" applyProtection="1">
      <alignment/>
      <protection/>
    </xf>
    <xf numFmtId="0" fontId="54" fillId="0" borderId="0" xfId="0" applyFont="1" applyAlignment="1">
      <alignment/>
    </xf>
    <xf numFmtId="0" fontId="0" fillId="33" borderId="10" xfId="0" applyFill="1" applyBorder="1" applyAlignment="1">
      <alignment horizontal="center" wrapText="1"/>
    </xf>
    <xf numFmtId="2" fontId="0" fillId="33" borderId="10" xfId="0" applyNumberFormat="1" applyFill="1" applyBorder="1" applyAlignment="1">
      <alignment horizontal="center" wrapText="1"/>
    </xf>
    <xf numFmtId="1" fontId="41" fillId="34" borderId="10" xfId="0" applyNumberFormat="1" applyFont="1" applyFill="1" applyBorder="1" applyAlignment="1">
      <alignment horizontal="center" wrapText="1"/>
    </xf>
    <xf numFmtId="0" fontId="41" fillId="34" borderId="10" xfId="0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 wrapText="1"/>
    </xf>
    <xf numFmtId="2" fontId="41" fillId="34" borderId="10" xfId="0" applyNumberFormat="1" applyFont="1" applyFill="1" applyBorder="1" applyAlignment="1">
      <alignment horizontal="center" wrapText="1"/>
    </xf>
    <xf numFmtId="0" fontId="55" fillId="33" borderId="0" xfId="0" applyFont="1" applyFill="1" applyAlignment="1">
      <alignment/>
    </xf>
    <xf numFmtId="0" fontId="0" fillId="0" borderId="12" xfId="0" applyFill="1" applyBorder="1" applyAlignment="1">
      <alignment horizontal="center"/>
    </xf>
    <xf numFmtId="0" fontId="51" fillId="33" borderId="0" xfId="0" applyFont="1" applyFill="1" applyAlignment="1">
      <alignment horizontal="left"/>
    </xf>
    <xf numFmtId="0" fontId="0" fillId="0" borderId="10" xfId="0" applyBorder="1" applyAlignment="1">
      <alignment horizontal="center"/>
    </xf>
    <xf numFmtId="0" fontId="56" fillId="0" borderId="0" xfId="0" applyFont="1" applyAlignment="1">
      <alignment horizontal="left"/>
    </xf>
    <xf numFmtId="0" fontId="41" fillId="34" borderId="10" xfId="0" applyNumberFormat="1" applyFont="1" applyFill="1" applyBorder="1" applyAlignment="1">
      <alignment horizontal="center" wrapText="1"/>
    </xf>
    <xf numFmtId="2" fontId="0" fillId="33" borderId="0" xfId="0" applyNumberFormat="1" applyFill="1" applyAlignment="1">
      <alignment/>
    </xf>
    <xf numFmtId="0" fontId="53" fillId="0" borderId="0" xfId="0" applyFont="1" applyAlignment="1">
      <alignment/>
    </xf>
    <xf numFmtId="0" fontId="49" fillId="33" borderId="0" xfId="0" applyFont="1" applyFill="1" applyAlignment="1">
      <alignment/>
    </xf>
    <xf numFmtId="172" fontId="41" fillId="34" borderId="10" xfId="0" applyNumberFormat="1" applyFont="1" applyFill="1" applyBorder="1" applyAlignment="1">
      <alignment horizontal="center" wrapText="1"/>
    </xf>
    <xf numFmtId="0" fontId="49" fillId="33" borderId="11" xfId="42" applyFont="1" applyFill="1" applyBorder="1" applyAlignment="1" applyProtection="1">
      <alignment/>
      <protection/>
    </xf>
    <xf numFmtId="172" fontId="53" fillId="34" borderId="10" xfId="0" applyNumberFormat="1" applyFont="1" applyFill="1" applyBorder="1" applyAlignment="1">
      <alignment/>
    </xf>
    <xf numFmtId="0" fontId="57" fillId="35" borderId="10" xfId="0" applyFont="1" applyFill="1" applyBorder="1" applyAlignment="1">
      <alignment wrapText="1"/>
    </xf>
    <xf numFmtId="0" fontId="58" fillId="0" borderId="0" xfId="42" applyFont="1" applyAlignment="1" applyProtection="1">
      <alignment/>
      <protection/>
    </xf>
    <xf numFmtId="0" fontId="58" fillId="33" borderId="0" xfId="42" applyFont="1" applyFill="1" applyAlignment="1" applyProtection="1">
      <alignment/>
      <protection/>
    </xf>
    <xf numFmtId="0" fontId="58" fillId="0" borderId="10" xfId="42" applyFont="1" applyBorder="1" applyAlignment="1" applyProtection="1">
      <alignment/>
      <protection/>
    </xf>
    <xf numFmtId="0" fontId="0" fillId="0" borderId="10" xfId="0" applyBorder="1" applyAlignment="1">
      <alignment/>
    </xf>
    <xf numFmtId="2" fontId="0" fillId="34" borderId="10" xfId="0" applyNumberFormat="1" applyFill="1" applyBorder="1" applyAlignment="1">
      <alignment horizontal="center" wrapText="1"/>
    </xf>
    <xf numFmtId="0" fontId="59" fillId="33" borderId="13" xfId="42" applyFont="1" applyFill="1" applyBorder="1" applyAlignment="1" applyProtection="1">
      <alignment/>
      <protection/>
    </xf>
    <xf numFmtId="1" fontId="49" fillId="0" borderId="10" xfId="0" applyNumberFormat="1" applyFont="1" applyBorder="1" applyAlignment="1">
      <alignment horizontal="center"/>
    </xf>
    <xf numFmtId="0" fontId="60" fillId="0" borderId="0" xfId="0" applyFont="1" applyAlignment="1">
      <alignment/>
    </xf>
    <xf numFmtId="0" fontId="0" fillId="33" borderId="1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r-skincare.co.uk/alpha-clear-mandelic-acid--orangewater-clarifying-toner-12-p.asp" TargetMode="External" /><Relationship Id="rId2" Type="http://schemas.openxmlformats.org/officeDocument/2006/relationships/hyperlink" Target="http://www.sr-skincare.co.uk/alpha-clear-mandelic-acid--orangewater-clarifying-toner-12-p.asp" TargetMode="External" /><Relationship Id="rId3" Type="http://schemas.openxmlformats.org/officeDocument/2006/relationships/hyperlink" Target="http://www.sr-skincare.co.uk/alpha-clear-mandelic-acid--orangewater-clarifying-toner-12-p.asp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17.00390625" style="0" customWidth="1"/>
    <col min="2" max="3" width="15.28125" style="0" customWidth="1"/>
    <col min="4" max="4" width="13.57421875" style="0" customWidth="1"/>
    <col min="5" max="5" width="21.28125" style="0" customWidth="1"/>
    <col min="6" max="6" width="10.57421875" style="0" customWidth="1"/>
    <col min="7" max="7" width="13.28125" style="0" customWidth="1"/>
    <col min="8" max="8" width="16.421875" style="0" customWidth="1"/>
    <col min="9" max="9" width="17.140625" style="0" customWidth="1"/>
  </cols>
  <sheetData>
    <row r="1" spans="1:7" s="4" customFormat="1" ht="21.75" customHeight="1">
      <c r="A1" s="1" t="s">
        <v>0</v>
      </c>
      <c r="B1" s="2">
        <v>41845</v>
      </c>
      <c r="C1" s="2"/>
      <c r="D1" s="22"/>
      <c r="E1" s="22" t="s">
        <v>33</v>
      </c>
      <c r="F1" s="3">
        <v>60.6</v>
      </c>
      <c r="G1" s="4" t="s">
        <v>8</v>
      </c>
    </row>
    <row r="2" spans="1:7" s="4" customFormat="1" ht="23.25" customHeight="1">
      <c r="A2" s="20" t="s">
        <v>12</v>
      </c>
      <c r="D2" s="22"/>
      <c r="E2" s="22" t="s">
        <v>34</v>
      </c>
      <c r="F2" s="3">
        <v>62.03</v>
      </c>
      <c r="G2" s="4" t="s">
        <v>8</v>
      </c>
    </row>
    <row r="3" spans="1:9" s="7" customFormat="1" ht="58.5" customHeight="1">
      <c r="A3" s="5" t="s">
        <v>1</v>
      </c>
      <c r="B3" s="6" t="s">
        <v>6</v>
      </c>
      <c r="C3" s="6" t="s">
        <v>32</v>
      </c>
      <c r="D3" s="6" t="s">
        <v>9</v>
      </c>
      <c r="E3" s="6" t="s">
        <v>10</v>
      </c>
      <c r="F3" s="5" t="s">
        <v>7</v>
      </c>
      <c r="G3" s="5" t="s">
        <v>11</v>
      </c>
      <c r="H3" s="5" t="s">
        <v>2</v>
      </c>
      <c r="I3" s="5" t="s">
        <v>3</v>
      </c>
    </row>
    <row r="4" spans="1:10" s="4" customFormat="1" ht="15">
      <c r="A4" s="8" t="s">
        <v>14</v>
      </c>
      <c r="B4" s="14">
        <v>45.7</v>
      </c>
      <c r="C4" s="14">
        <f>B4*0.1</f>
        <v>4.57</v>
      </c>
      <c r="D4" s="15">
        <f aca="true" t="shared" si="0" ref="D4:D12">B4/$B$13*$D$13</f>
        <v>0.589190082644628</v>
      </c>
      <c r="E4" s="15">
        <f>B4/$B$13*$E$13</f>
        <v>7.034023140495867</v>
      </c>
      <c r="F4" s="15">
        <f>B4+D4+E4+C4</f>
        <v>57.8932132231405</v>
      </c>
      <c r="G4" s="18">
        <f>(B4+C4+D4)*$F$1+E4*$F$2</f>
        <v>3518.3873744132234</v>
      </c>
      <c r="H4" s="9">
        <v>3518</v>
      </c>
      <c r="I4" s="18">
        <f aca="true" t="shared" si="1" ref="I4:I11">H4-G4</f>
        <v>-0.38737441322336963</v>
      </c>
      <c r="J4" s="26"/>
    </row>
    <row r="5" spans="1:9" s="4" customFormat="1" ht="15">
      <c r="A5" s="8" t="s">
        <v>15</v>
      </c>
      <c r="B5" s="14">
        <v>35.35</v>
      </c>
      <c r="C5" s="14">
        <f aca="true" t="shared" si="2" ref="C5:C11">B5*0.1</f>
        <v>3.535</v>
      </c>
      <c r="D5" s="15">
        <f t="shared" si="0"/>
        <v>0.4557520661157024</v>
      </c>
      <c r="E5" s="15">
        <f aca="true" t="shared" si="3" ref="E5:E12">B5/$B$13*$E$13</f>
        <v>5.440978512396693</v>
      </c>
      <c r="F5" s="15">
        <f aca="true" t="shared" si="4" ref="F5:F11">B5+D5+E5+C5</f>
        <v>44.781730578512395</v>
      </c>
      <c r="G5" s="18">
        <f aca="true" t="shared" si="5" ref="G5:G10">(B5+C5+D5)*$F$1+E5*$F$2</f>
        <v>2721.5534723305786</v>
      </c>
      <c r="H5" s="9">
        <f>899+1500+323</f>
        <v>2722</v>
      </c>
      <c r="I5" s="18">
        <f t="shared" si="1"/>
        <v>0.44652766942135713</v>
      </c>
    </row>
    <row r="6" spans="1:9" s="4" customFormat="1" ht="15">
      <c r="A6" s="8" t="s">
        <v>5</v>
      </c>
      <c r="B6" s="14">
        <v>20.65</v>
      </c>
      <c r="C6" s="14">
        <f t="shared" si="2"/>
        <v>2.065</v>
      </c>
      <c r="D6" s="15">
        <f t="shared" si="0"/>
        <v>0.26623140495867764</v>
      </c>
      <c r="E6" s="15">
        <f t="shared" si="3"/>
        <v>3.1783933884297513</v>
      </c>
      <c r="F6" s="15">
        <f t="shared" si="4"/>
        <v>26.159624793388428</v>
      </c>
      <c r="G6" s="18">
        <f t="shared" si="5"/>
        <v>1589.8183650247934</v>
      </c>
      <c r="H6" s="9">
        <f>1401+189</f>
        <v>1590</v>
      </c>
      <c r="I6" s="18">
        <f t="shared" si="1"/>
        <v>0.1816349752066344</v>
      </c>
    </row>
    <row r="7" spans="1:9" s="4" customFormat="1" ht="15">
      <c r="A7" s="8" t="s">
        <v>16</v>
      </c>
      <c r="B7" s="14">
        <v>104.9</v>
      </c>
      <c r="C7" s="14">
        <f t="shared" si="2"/>
        <v>10.490000000000002</v>
      </c>
      <c r="D7" s="15">
        <f t="shared" si="0"/>
        <v>1.3524297520661155</v>
      </c>
      <c r="E7" s="15">
        <f t="shared" si="3"/>
        <v>16.145930578512395</v>
      </c>
      <c r="F7" s="15">
        <f t="shared" si="4"/>
        <v>132.8883603305785</v>
      </c>
      <c r="G7" s="18">
        <f t="shared" si="5"/>
        <v>8076.123316760331</v>
      </c>
      <c r="H7" s="9">
        <f>7128+948</f>
        <v>8076</v>
      </c>
      <c r="I7" s="18">
        <f t="shared" si="1"/>
        <v>-0.12331676033136318</v>
      </c>
    </row>
    <row r="8" spans="1:9" s="4" customFormat="1" ht="15">
      <c r="A8" s="8" t="s">
        <v>17</v>
      </c>
      <c r="B8" s="14">
        <v>17.45</v>
      </c>
      <c r="C8" s="14">
        <f t="shared" si="2"/>
        <v>1.745</v>
      </c>
      <c r="D8" s="15">
        <f t="shared" si="0"/>
        <v>0.2249752066115702</v>
      </c>
      <c r="E8" s="15">
        <f t="shared" si="3"/>
        <v>2.685857851239669</v>
      </c>
      <c r="F8" s="15">
        <f t="shared" si="4"/>
        <v>22.10583305785124</v>
      </c>
      <c r="G8" s="18">
        <f t="shared" si="5"/>
        <v>1343.4542600330578</v>
      </c>
      <c r="H8" s="9">
        <f>1184+159</f>
        <v>1343</v>
      </c>
      <c r="I8" s="18">
        <f t="shared" si="1"/>
        <v>-0.45426003305783524</v>
      </c>
    </row>
    <row r="9" spans="1:9" s="4" customFormat="1" ht="15">
      <c r="A9" s="8" t="s">
        <v>18</v>
      </c>
      <c r="B9" s="14">
        <v>8.3</v>
      </c>
      <c r="C9" s="14">
        <f t="shared" si="2"/>
        <v>0.8300000000000001</v>
      </c>
      <c r="D9" s="15">
        <f t="shared" si="0"/>
        <v>0.10700826446280991</v>
      </c>
      <c r="E9" s="15">
        <f t="shared" si="3"/>
        <v>1.2775140495867767</v>
      </c>
      <c r="F9" s="15">
        <f t="shared" si="4"/>
        <v>10.514522314049588</v>
      </c>
      <c r="G9" s="18">
        <f t="shared" si="5"/>
        <v>639.0068973223141</v>
      </c>
      <c r="H9" s="9">
        <f>563+76</f>
        <v>639</v>
      </c>
      <c r="I9" s="18">
        <f t="shared" si="1"/>
        <v>-0.006897322314102894</v>
      </c>
    </row>
    <row r="10" spans="1:9" s="4" customFormat="1" ht="15">
      <c r="A10" s="8" t="s">
        <v>19</v>
      </c>
      <c r="B10" s="14">
        <v>17.9</v>
      </c>
      <c r="C10" s="14">
        <f t="shared" si="2"/>
        <v>1.79</v>
      </c>
      <c r="D10" s="15">
        <f t="shared" si="0"/>
        <v>0.23077685950413215</v>
      </c>
      <c r="E10" s="15">
        <f t="shared" si="3"/>
        <v>2.755120661157024</v>
      </c>
      <c r="F10" s="15">
        <f t="shared" si="4"/>
        <v>22.675897520661152</v>
      </c>
      <c r="G10" s="18">
        <f t="shared" si="5"/>
        <v>1378.0992122975204</v>
      </c>
      <c r="H10" s="9">
        <f>1215+163</f>
        <v>1378</v>
      </c>
      <c r="I10" s="18">
        <f t="shared" si="1"/>
        <v>-0.09921229752035288</v>
      </c>
    </row>
    <row r="11" spans="1:9" s="4" customFormat="1" ht="15">
      <c r="A11" s="8" t="s">
        <v>20</v>
      </c>
      <c r="B11" s="21">
        <v>8.9</v>
      </c>
      <c r="C11" s="14">
        <f t="shared" si="2"/>
        <v>0.8900000000000001</v>
      </c>
      <c r="D11" s="15">
        <f t="shared" si="0"/>
        <v>0.11474380165289254</v>
      </c>
      <c r="E11" s="15">
        <f t="shared" si="3"/>
        <v>1.3698644628099172</v>
      </c>
      <c r="F11" s="15">
        <f t="shared" si="4"/>
        <v>11.27460826446281</v>
      </c>
      <c r="G11" s="18">
        <f>(B11+C11+D11)*$F$1+E11*$F$2</f>
        <v>685.2001670082644</v>
      </c>
      <c r="H11" s="9">
        <f>604+81</f>
        <v>685</v>
      </c>
      <c r="I11" s="18">
        <f t="shared" si="1"/>
        <v>-0.20016700826442957</v>
      </c>
    </row>
    <row r="12" spans="1:9" s="4" customFormat="1" ht="15">
      <c r="A12" s="10" t="s">
        <v>4</v>
      </c>
      <c r="B12" s="14">
        <v>43.35</v>
      </c>
      <c r="C12" s="14"/>
      <c r="D12" s="15">
        <f t="shared" si="0"/>
        <v>0.5588925619834709</v>
      </c>
      <c r="E12" s="15">
        <f t="shared" si="3"/>
        <v>6.6723173553718995</v>
      </c>
      <c r="F12" s="16"/>
      <c r="G12" s="11"/>
      <c r="H12" s="11"/>
      <c r="I12" s="11"/>
    </row>
    <row r="13" spans="1:9" s="4" customFormat="1" ht="15">
      <c r="A13" s="12"/>
      <c r="B13" s="17">
        <f>SUM(B4:B12)</f>
        <v>302.50000000000006</v>
      </c>
      <c r="C13" s="17"/>
      <c r="D13" s="17">
        <v>3.9</v>
      </c>
      <c r="E13" s="19">
        <v>46.56</v>
      </c>
      <c r="F13" s="25"/>
      <c r="G13" s="11"/>
      <c r="H13" s="11"/>
      <c r="I13" s="11"/>
    </row>
    <row r="15" spans="1:7" s="4" customFormat="1" ht="25.5" customHeight="1">
      <c r="A15" s="20" t="s">
        <v>13</v>
      </c>
      <c r="E15" s="22" t="s">
        <v>33</v>
      </c>
      <c r="F15" s="3">
        <v>61.61</v>
      </c>
      <c r="G15" s="4" t="s">
        <v>8</v>
      </c>
    </row>
    <row r="16" spans="1:7" s="4" customFormat="1" ht="25.5" customHeight="1">
      <c r="A16" s="20"/>
      <c r="E16" s="22" t="s">
        <v>34</v>
      </c>
      <c r="F16" s="3">
        <v>62.2</v>
      </c>
      <c r="G16" s="4" t="s">
        <v>8</v>
      </c>
    </row>
    <row r="17" spans="1:9" s="7" customFormat="1" ht="58.5" customHeight="1">
      <c r="A17" s="5" t="s">
        <v>1</v>
      </c>
      <c r="B17" s="6" t="s">
        <v>6</v>
      </c>
      <c r="C17" s="6" t="s">
        <v>32</v>
      </c>
      <c r="D17" s="6" t="s">
        <v>9</v>
      </c>
      <c r="E17" s="6" t="s">
        <v>10</v>
      </c>
      <c r="F17" s="5" t="s">
        <v>7</v>
      </c>
      <c r="G17" s="5" t="s">
        <v>11</v>
      </c>
      <c r="H17" s="5" t="s">
        <v>2</v>
      </c>
      <c r="I17" s="5" t="s">
        <v>3</v>
      </c>
    </row>
    <row r="18" spans="1:9" s="4" customFormat="1" ht="15">
      <c r="A18" s="8" t="s">
        <v>21</v>
      </c>
      <c r="B18" s="14">
        <v>31.75</v>
      </c>
      <c r="C18" s="14">
        <f>B18*0.1</f>
        <v>3.1750000000000003</v>
      </c>
      <c r="D18" s="15">
        <f>B18/$B$31*$D$31</f>
        <v>0.42127831715210357</v>
      </c>
      <c r="E18" s="15">
        <f aca="true" t="shared" si="6" ref="E18:E29">B18/$B$31*$E$31</f>
        <v>4.753252427184466</v>
      </c>
      <c r="F18" s="15">
        <f>B18+D18+E18+C18</f>
        <v>40.09953074433656</v>
      </c>
      <c r="G18" s="18">
        <f>(B18+C18+D18)*$F$15+E18*$F$16</f>
        <v>2473.3365080906146</v>
      </c>
      <c r="H18" s="9">
        <f>2155+319</f>
        <v>2474</v>
      </c>
      <c r="I18" s="18">
        <f aca="true" t="shared" si="7" ref="I18:I29">H18-G18</f>
        <v>0.6634919093853568</v>
      </c>
    </row>
    <row r="19" spans="1:9" s="4" customFormat="1" ht="15">
      <c r="A19" s="8" t="s">
        <v>22</v>
      </c>
      <c r="B19" s="14">
        <v>15.75</v>
      </c>
      <c r="C19" s="14">
        <f aca="true" t="shared" si="8" ref="C19:C29">B19*0.1</f>
        <v>1.5750000000000002</v>
      </c>
      <c r="D19" s="15">
        <f aca="true" t="shared" si="9" ref="D19:D30">B19/$B$31*$D$31</f>
        <v>0.20898058252427187</v>
      </c>
      <c r="E19" s="15">
        <f t="shared" si="6"/>
        <v>2.357912621359224</v>
      </c>
      <c r="F19" s="15">
        <f aca="true" t="shared" si="10" ref="F19:F29">B19+D19+E19+C19</f>
        <v>19.891893203883495</v>
      </c>
      <c r="G19" s="18">
        <f aca="true" t="shared" si="11" ref="G19:G29">(B19+C19+D19)*$F$15+E19*$F$16</f>
        <v>1226.9307087378643</v>
      </c>
      <c r="H19" s="9">
        <f>1069+11+147</f>
        <v>1227</v>
      </c>
      <c r="I19" s="18">
        <f t="shared" si="7"/>
        <v>0.0692912621357209</v>
      </c>
    </row>
    <row r="20" spans="1:9" s="4" customFormat="1" ht="15">
      <c r="A20" s="8" t="s">
        <v>23</v>
      </c>
      <c r="B20" s="14">
        <v>18.8</v>
      </c>
      <c r="C20" s="14">
        <f t="shared" si="8"/>
        <v>1.8800000000000001</v>
      </c>
      <c r="D20" s="15">
        <f t="shared" si="9"/>
        <v>0.2494498381877023</v>
      </c>
      <c r="E20" s="15">
        <f t="shared" si="6"/>
        <v>2.8145242718446606</v>
      </c>
      <c r="F20" s="15">
        <f t="shared" si="10"/>
        <v>23.74397411003236</v>
      </c>
      <c r="G20" s="18">
        <f t="shared" si="11"/>
        <v>1464.526814239482</v>
      </c>
      <c r="H20" s="9">
        <f>1276+189</f>
        <v>1465</v>
      </c>
      <c r="I20" s="18">
        <f t="shared" si="7"/>
        <v>0.4731857605179357</v>
      </c>
    </row>
    <row r="21" spans="1:9" s="4" customFormat="1" ht="15">
      <c r="A21" s="8" t="s">
        <v>24</v>
      </c>
      <c r="B21" s="14">
        <v>24.9</v>
      </c>
      <c r="C21" s="14">
        <f t="shared" si="8"/>
        <v>2.49</v>
      </c>
      <c r="D21" s="15">
        <f t="shared" si="9"/>
        <v>0.33038834951456314</v>
      </c>
      <c r="E21" s="15">
        <f t="shared" si="6"/>
        <v>3.7277475728155345</v>
      </c>
      <c r="F21" s="15">
        <f t="shared" si="10"/>
        <v>31.448135922330096</v>
      </c>
      <c r="G21" s="18">
        <f t="shared" si="11"/>
        <v>1939.7190252427185</v>
      </c>
      <c r="H21" s="9">
        <f>1700+240</f>
        <v>1940</v>
      </c>
      <c r="I21" s="18">
        <f t="shared" si="7"/>
        <v>0.2809747572814558</v>
      </c>
    </row>
    <row r="22" spans="1:9" s="4" customFormat="1" ht="15">
      <c r="A22" s="8" t="s">
        <v>25</v>
      </c>
      <c r="B22" s="14">
        <v>36.6</v>
      </c>
      <c r="C22" s="14">
        <f t="shared" si="8"/>
        <v>3.66</v>
      </c>
      <c r="D22" s="15">
        <f t="shared" si="9"/>
        <v>0.4856310679611651</v>
      </c>
      <c r="E22" s="15">
        <f t="shared" si="6"/>
        <v>5.479339805825243</v>
      </c>
      <c r="F22" s="15">
        <f t="shared" si="10"/>
        <v>46.224970873786404</v>
      </c>
      <c r="G22" s="18">
        <f t="shared" si="11"/>
        <v>2851.153266019418</v>
      </c>
      <c r="H22" s="9">
        <f>2500+351</f>
        <v>2851</v>
      </c>
      <c r="I22" s="18">
        <f t="shared" si="7"/>
        <v>-0.1532660194179698</v>
      </c>
    </row>
    <row r="23" spans="1:9" s="4" customFormat="1" ht="15">
      <c r="A23" s="8" t="s">
        <v>26</v>
      </c>
      <c r="B23" s="14">
        <v>18.5</v>
      </c>
      <c r="C23" s="14">
        <f t="shared" si="8"/>
        <v>1.85</v>
      </c>
      <c r="D23" s="15">
        <f t="shared" si="9"/>
        <v>0.24546925566343045</v>
      </c>
      <c r="E23" s="15">
        <f t="shared" si="6"/>
        <v>2.7696116504854373</v>
      </c>
      <c r="F23" s="15">
        <f t="shared" si="10"/>
        <v>23.36508090614887</v>
      </c>
      <c r="G23" s="18">
        <f t="shared" si="11"/>
        <v>1441.1567055016183</v>
      </c>
      <c r="H23" s="9">
        <f>1256+185</f>
        <v>1441</v>
      </c>
      <c r="I23" s="18">
        <f t="shared" si="7"/>
        <v>-0.15670550161826213</v>
      </c>
    </row>
    <row r="24" spans="1:9" s="4" customFormat="1" ht="15">
      <c r="A24" s="8" t="s">
        <v>27</v>
      </c>
      <c r="B24" s="14">
        <v>27.95</v>
      </c>
      <c r="C24" s="14">
        <f t="shared" si="8"/>
        <v>2.795</v>
      </c>
      <c r="D24" s="15">
        <f t="shared" si="9"/>
        <v>0.37085760517799354</v>
      </c>
      <c r="E24" s="15">
        <f t="shared" si="6"/>
        <v>4.184359223300971</v>
      </c>
      <c r="F24" s="15">
        <f t="shared" si="10"/>
        <v>35.300216828478966</v>
      </c>
      <c r="G24" s="18">
        <f t="shared" si="11"/>
        <v>2177.3151307443363</v>
      </c>
      <c r="H24" s="9">
        <f>1897+280</f>
        <v>2177</v>
      </c>
      <c r="I24" s="18">
        <f t="shared" si="7"/>
        <v>-0.31513074433632937</v>
      </c>
    </row>
    <row r="25" spans="1:9" s="4" customFormat="1" ht="15">
      <c r="A25" s="8" t="s">
        <v>28</v>
      </c>
      <c r="B25" s="14">
        <v>31.95</v>
      </c>
      <c r="C25" s="14">
        <f t="shared" si="8"/>
        <v>3.1950000000000003</v>
      </c>
      <c r="D25" s="15">
        <f t="shared" si="9"/>
        <v>0.4239320388349515</v>
      </c>
      <c r="E25" s="15">
        <f t="shared" si="6"/>
        <v>4.783194174757282</v>
      </c>
      <c r="F25" s="15">
        <f t="shared" si="10"/>
        <v>40.352126213592236</v>
      </c>
      <c r="G25" s="18">
        <f t="shared" si="11"/>
        <v>2488.9165805825237</v>
      </c>
      <c r="H25" s="9">
        <f>2169+320</f>
        <v>2489</v>
      </c>
      <c r="I25" s="18">
        <f t="shared" si="7"/>
        <v>0.08341941747630699</v>
      </c>
    </row>
    <row r="26" spans="1:9" s="4" customFormat="1" ht="15">
      <c r="A26" s="8" t="s">
        <v>29</v>
      </c>
      <c r="B26" s="14">
        <v>4.95</v>
      </c>
      <c r="C26" s="14">
        <f t="shared" si="8"/>
        <v>0.49500000000000005</v>
      </c>
      <c r="D26" s="15">
        <f t="shared" si="9"/>
        <v>0.06567961165048544</v>
      </c>
      <c r="E26" s="15">
        <f t="shared" si="6"/>
        <v>0.7410582524271846</v>
      </c>
      <c r="F26" s="15">
        <f t="shared" si="10"/>
        <v>6.25173786407767</v>
      </c>
      <c r="G26" s="18">
        <f t="shared" si="11"/>
        <v>385.6067941747573</v>
      </c>
      <c r="H26" s="9">
        <f>336+50</f>
        <v>386</v>
      </c>
      <c r="I26" s="18">
        <f t="shared" si="7"/>
        <v>0.39320582524271686</v>
      </c>
    </row>
    <row r="27" spans="1:10" s="4" customFormat="1" ht="15">
      <c r="A27" s="8" t="s">
        <v>30</v>
      </c>
      <c r="B27" s="14">
        <v>32.9</v>
      </c>
      <c r="C27" s="14">
        <f t="shared" si="8"/>
        <v>3.29</v>
      </c>
      <c r="D27" s="15">
        <f t="shared" si="9"/>
        <v>0.43653721682847896</v>
      </c>
      <c r="E27" s="15">
        <f t="shared" si="6"/>
        <v>4.925417475728156</v>
      </c>
      <c r="F27" s="15">
        <f t="shared" si="10"/>
        <v>41.55195469255663</v>
      </c>
      <c r="G27" s="18">
        <f t="shared" si="11"/>
        <v>2562.9219249190933</v>
      </c>
      <c r="H27" s="9">
        <f>2333-33+263</f>
        <v>2563</v>
      </c>
      <c r="I27" s="18">
        <f t="shared" si="7"/>
        <v>0.07807508090672854</v>
      </c>
      <c r="J27" s="24" t="s">
        <v>36</v>
      </c>
    </row>
    <row r="28" spans="1:9" s="4" customFormat="1" ht="15">
      <c r="A28" s="8" t="s">
        <v>31</v>
      </c>
      <c r="B28" s="14">
        <v>42.25</v>
      </c>
      <c r="C28" s="14">
        <f t="shared" si="8"/>
        <v>4.2250000000000005</v>
      </c>
      <c r="D28" s="15">
        <f t="shared" si="9"/>
        <v>0.5605987055016182</v>
      </c>
      <c r="E28" s="15">
        <f t="shared" si="6"/>
        <v>6.325194174757282</v>
      </c>
      <c r="F28" s="15">
        <f t="shared" si="10"/>
        <v>53.360792880258906</v>
      </c>
      <c r="G28" s="18">
        <f t="shared" si="11"/>
        <v>3291.290313915858</v>
      </c>
      <c r="H28" s="9">
        <f>2868+423</f>
        <v>3291</v>
      </c>
      <c r="I28" s="18">
        <f t="shared" si="7"/>
        <v>-0.29031391585795063</v>
      </c>
    </row>
    <row r="29" spans="1:9" s="4" customFormat="1" ht="15">
      <c r="A29" s="8" t="s">
        <v>35</v>
      </c>
      <c r="B29" s="14">
        <v>15.3</v>
      </c>
      <c r="C29" s="14">
        <f t="shared" si="8"/>
        <v>1.5300000000000002</v>
      </c>
      <c r="D29" s="15">
        <f>B29/$B$31*$D$31</f>
        <v>0.2030097087378641</v>
      </c>
      <c r="E29" s="15">
        <f t="shared" si="6"/>
        <v>2.2905436893203888</v>
      </c>
      <c r="F29" s="15">
        <f t="shared" si="10"/>
        <v>19.323553398058255</v>
      </c>
      <c r="G29" s="18">
        <f t="shared" si="11"/>
        <v>1191.875545631068</v>
      </c>
      <c r="H29" s="9">
        <f>1038+154</f>
        <v>1192</v>
      </c>
      <c r="I29" s="18">
        <f t="shared" si="7"/>
        <v>0.12445436893199258</v>
      </c>
    </row>
    <row r="30" spans="1:9" s="4" customFormat="1" ht="15">
      <c r="A30" s="10" t="s">
        <v>4</v>
      </c>
      <c r="B30" s="23">
        <v>7.4</v>
      </c>
      <c r="C30" s="14"/>
      <c r="D30" s="15">
        <f t="shared" si="9"/>
        <v>0.09818770226537218</v>
      </c>
      <c r="E30" s="15">
        <f>B30/$B$31*$E$31</f>
        <v>1.107844660194175</v>
      </c>
      <c r="F30" s="16"/>
      <c r="G30" s="11"/>
      <c r="H30" s="11"/>
      <c r="I30" s="11"/>
    </row>
    <row r="31" spans="1:9" s="4" customFormat="1" ht="15">
      <c r="A31" s="12"/>
      <c r="B31" s="17">
        <f>SUM(B18:B30)</f>
        <v>308.99999999999994</v>
      </c>
      <c r="C31" s="17"/>
      <c r="D31" s="17">
        <v>4.1</v>
      </c>
      <c r="E31" s="19">
        <v>46.26</v>
      </c>
      <c r="F31" s="16"/>
      <c r="G31" s="11"/>
      <c r="H31" s="11"/>
      <c r="I31" s="11"/>
    </row>
    <row r="33" ht="15">
      <c r="A33" s="27" t="s">
        <v>37</v>
      </c>
    </row>
    <row r="34" ht="15">
      <c r="A34" s="27" t="s">
        <v>38</v>
      </c>
    </row>
    <row r="35" ht="15">
      <c r="A35" s="27" t="s">
        <v>39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39"/>
  <sheetViews>
    <sheetView zoomScalePageLayoutView="0" workbookViewId="0" topLeftCell="A7">
      <selection activeCell="D28" sqref="D28"/>
    </sheetView>
  </sheetViews>
  <sheetFormatPr defaultColWidth="9.140625" defaultRowHeight="15"/>
  <cols>
    <col min="1" max="1" width="26.8515625" style="0" customWidth="1"/>
    <col min="2" max="2" width="18.7109375" style="0" customWidth="1"/>
    <col min="4" max="4" width="13.00390625" style="0" customWidth="1"/>
    <col min="5" max="5" width="22.00390625" style="0" customWidth="1"/>
    <col min="6" max="6" width="11.00390625" style="0" customWidth="1"/>
    <col min="8" max="8" width="12.28125" style="0" customWidth="1"/>
    <col min="9" max="9" width="13.140625" style="0" customWidth="1"/>
  </cols>
  <sheetData>
    <row r="1" spans="1:7" s="4" customFormat="1" ht="21.75" customHeight="1">
      <c r="A1" s="1" t="s">
        <v>0</v>
      </c>
      <c r="B1" s="2">
        <v>41914</v>
      </c>
      <c r="C1" s="2"/>
      <c r="D1" s="22"/>
      <c r="E1" s="22" t="s">
        <v>33</v>
      </c>
      <c r="F1" s="3">
        <v>65.62</v>
      </c>
      <c r="G1" s="4" t="s">
        <v>8</v>
      </c>
    </row>
    <row r="2" spans="1:7" s="4" customFormat="1" ht="23.25" customHeight="1">
      <c r="A2" s="20" t="s">
        <v>12</v>
      </c>
      <c r="D2" s="22"/>
      <c r="E2" s="22" t="s">
        <v>34</v>
      </c>
      <c r="F2" s="3">
        <v>68.5</v>
      </c>
      <c r="G2" s="4" t="s">
        <v>8</v>
      </c>
    </row>
    <row r="3" spans="1:9" s="7" customFormat="1" ht="58.5" customHeight="1">
      <c r="A3" s="5" t="s">
        <v>1</v>
      </c>
      <c r="B3" s="6" t="s">
        <v>6</v>
      </c>
      <c r="C3" s="6" t="s">
        <v>32</v>
      </c>
      <c r="D3" s="6" t="s">
        <v>9</v>
      </c>
      <c r="E3" s="6" t="s">
        <v>10</v>
      </c>
      <c r="F3" s="5" t="s">
        <v>7</v>
      </c>
      <c r="G3" s="5" t="s">
        <v>11</v>
      </c>
      <c r="H3" s="5" t="s">
        <v>2</v>
      </c>
      <c r="I3" s="5" t="s">
        <v>3</v>
      </c>
    </row>
    <row r="4" spans="1:10" s="4" customFormat="1" ht="15">
      <c r="A4" s="8" t="s">
        <v>40</v>
      </c>
      <c r="B4" s="14">
        <v>21</v>
      </c>
      <c r="C4" s="14">
        <f>B4*0.1</f>
        <v>2.1</v>
      </c>
      <c r="D4" s="15">
        <f aca="true" t="shared" si="0" ref="D4:D16">B4/$B$17*$D$17</f>
        <v>0.3162162162162162</v>
      </c>
      <c r="E4" s="15">
        <f aca="true" t="shared" si="1" ref="E4:E16">B4/$B$17*$E$17</f>
        <v>3.072972972972973</v>
      </c>
      <c r="F4" s="15">
        <f>B4+D4+E4+C4</f>
        <v>26.48918918918919</v>
      </c>
      <c r="G4" s="18">
        <f>(B4+C4+D4)*$F$1+E4*$F$2</f>
        <v>1747.070756756757</v>
      </c>
      <c r="H4" s="9">
        <f>1535+212</f>
        <v>1747</v>
      </c>
      <c r="I4" s="18">
        <f aca="true" t="shared" si="2" ref="I4:I11">H4-G4</f>
        <v>-0.07075675675696402</v>
      </c>
      <c r="J4" s="26"/>
    </row>
    <row r="5" spans="1:9" s="4" customFormat="1" ht="15">
      <c r="A5" s="8" t="s">
        <v>18</v>
      </c>
      <c r="B5" s="14">
        <v>12.9</v>
      </c>
      <c r="C5" s="14">
        <f aca="true" t="shared" si="3" ref="C5:C11">B5*0.1</f>
        <v>1.29</v>
      </c>
      <c r="D5" s="15">
        <f t="shared" si="0"/>
        <v>0.19424710424710426</v>
      </c>
      <c r="E5" s="15">
        <f t="shared" si="1"/>
        <v>1.8876833976833978</v>
      </c>
      <c r="F5" s="15">
        <f aca="true" t="shared" si="4" ref="F5:F11">B5+D5+E5+C5</f>
        <v>16.271930501930502</v>
      </c>
      <c r="G5" s="18">
        <f aca="true" t="shared" si="5" ref="G5:G10">(B5+C5+D5)*$F$1+E5*$F$2</f>
        <v>1073.2006077220078</v>
      </c>
      <c r="H5" s="9">
        <f>943+130</f>
        <v>1073</v>
      </c>
      <c r="I5" s="18">
        <f t="shared" si="2"/>
        <v>-0.20060772200781685</v>
      </c>
    </row>
    <row r="6" spans="1:9" s="4" customFormat="1" ht="15">
      <c r="A6" s="8" t="s">
        <v>41</v>
      </c>
      <c r="B6" s="14">
        <v>58.2</v>
      </c>
      <c r="C6" s="14">
        <f t="shared" si="3"/>
        <v>5.82</v>
      </c>
      <c r="D6" s="15">
        <f t="shared" si="0"/>
        <v>0.8763706563706564</v>
      </c>
      <c r="E6" s="15">
        <f t="shared" si="1"/>
        <v>8.516525096525097</v>
      </c>
      <c r="F6" s="15">
        <f t="shared" si="4"/>
        <v>73.41289575289576</v>
      </c>
      <c r="G6" s="18">
        <f t="shared" si="5"/>
        <v>4841.881811583012</v>
      </c>
      <c r="H6" s="9">
        <f>4254+588</f>
        <v>4842</v>
      </c>
      <c r="I6" s="18">
        <f t="shared" si="2"/>
        <v>0.11818841698823235</v>
      </c>
    </row>
    <row r="7" spans="1:9" s="4" customFormat="1" ht="15">
      <c r="A7" s="8" t="s">
        <v>15</v>
      </c>
      <c r="B7" s="14">
        <v>11.95</v>
      </c>
      <c r="C7" s="14">
        <f t="shared" si="3"/>
        <v>1.195</v>
      </c>
      <c r="D7" s="15">
        <f t="shared" si="0"/>
        <v>0.1799420849420849</v>
      </c>
      <c r="E7" s="15">
        <f t="shared" si="1"/>
        <v>1.7486679536679535</v>
      </c>
      <c r="F7" s="15">
        <f t="shared" si="4"/>
        <v>15.073610038610036</v>
      </c>
      <c r="G7" s="18">
        <f t="shared" si="5"/>
        <v>994.1664544401544</v>
      </c>
      <c r="H7" s="9">
        <f>874+120</f>
        <v>994</v>
      </c>
      <c r="I7" s="18">
        <f t="shared" si="2"/>
        <v>-0.166454440154439</v>
      </c>
    </row>
    <row r="8" spans="1:9" s="4" customFormat="1" ht="15">
      <c r="A8" s="8" t="s">
        <v>31</v>
      </c>
      <c r="B8" s="14">
        <v>25.85</v>
      </c>
      <c r="C8" s="14">
        <f t="shared" si="3"/>
        <v>2.5850000000000004</v>
      </c>
      <c r="D8" s="15">
        <f t="shared" si="0"/>
        <v>0.3892471042471043</v>
      </c>
      <c r="E8" s="15">
        <f t="shared" si="1"/>
        <v>3.782683397683398</v>
      </c>
      <c r="F8" s="15">
        <f t="shared" si="4"/>
        <v>32.606930501930506</v>
      </c>
      <c r="G8" s="18">
        <f t="shared" si="5"/>
        <v>2150.560907722008</v>
      </c>
      <c r="H8" s="9">
        <f>1890+261</f>
        <v>2151</v>
      </c>
      <c r="I8" s="18">
        <f t="shared" si="2"/>
        <v>0.43909227799213113</v>
      </c>
    </row>
    <row r="9" spans="1:9" s="4" customFormat="1" ht="15">
      <c r="A9" s="8" t="s">
        <v>42</v>
      </c>
      <c r="B9" s="14">
        <v>4.4</v>
      </c>
      <c r="C9" s="14">
        <f t="shared" si="3"/>
        <v>0.44000000000000006</v>
      </c>
      <c r="D9" s="15">
        <f t="shared" si="0"/>
        <v>0.06625482625482626</v>
      </c>
      <c r="E9" s="15">
        <f t="shared" si="1"/>
        <v>0.6438610038610039</v>
      </c>
      <c r="F9" s="15">
        <f t="shared" si="4"/>
        <v>5.550115830115831</v>
      </c>
      <c r="G9" s="18">
        <f t="shared" si="5"/>
        <v>366.0529204633205</v>
      </c>
      <c r="H9" s="9">
        <f>322+44</f>
        <v>366</v>
      </c>
      <c r="I9" s="18">
        <f t="shared" si="2"/>
        <v>-0.05292046332050404</v>
      </c>
    </row>
    <row r="10" spans="1:9" s="4" customFormat="1" ht="15">
      <c r="A10" s="8" t="s">
        <v>43</v>
      </c>
      <c r="B10" s="14">
        <v>8.1</v>
      </c>
      <c r="C10" s="14">
        <f t="shared" si="3"/>
        <v>0.81</v>
      </c>
      <c r="D10" s="15">
        <f t="shared" si="0"/>
        <v>0.12196911196911195</v>
      </c>
      <c r="E10" s="15">
        <f t="shared" si="1"/>
        <v>1.1852895752895751</v>
      </c>
      <c r="F10" s="15">
        <f t="shared" si="4"/>
        <v>10.217258687258687</v>
      </c>
      <c r="G10" s="18">
        <f t="shared" si="5"/>
        <v>673.870149034749</v>
      </c>
      <c r="H10" s="9">
        <f>592+82</f>
        <v>674</v>
      </c>
      <c r="I10" s="18">
        <f t="shared" si="2"/>
        <v>0.1298509652509665</v>
      </c>
    </row>
    <row r="11" spans="1:9" s="4" customFormat="1" ht="15">
      <c r="A11" s="8" t="s">
        <v>44</v>
      </c>
      <c r="B11" s="14">
        <v>16.15</v>
      </c>
      <c r="C11" s="14">
        <f t="shared" si="3"/>
        <v>1.615</v>
      </c>
      <c r="D11" s="15">
        <f t="shared" si="0"/>
        <v>0.24318532818532818</v>
      </c>
      <c r="E11" s="15">
        <f t="shared" si="1"/>
        <v>2.363262548262548</v>
      </c>
      <c r="F11" s="15">
        <f t="shared" si="4"/>
        <v>20.37144787644787</v>
      </c>
      <c r="G11" s="18">
        <f>(B11+C11+D11)*$F$1+E11*$F$2</f>
        <v>1343.5806057915056</v>
      </c>
      <c r="H11" s="9">
        <f>1200+144</f>
        <v>1344</v>
      </c>
      <c r="I11" s="18">
        <f t="shared" si="2"/>
        <v>0.41939420849439557</v>
      </c>
    </row>
    <row r="12" spans="1:9" s="4" customFormat="1" ht="15">
      <c r="A12" s="8" t="s">
        <v>45</v>
      </c>
      <c r="B12" s="14">
        <v>4.35</v>
      </c>
      <c r="C12" s="14">
        <f>B12*0.1</f>
        <v>0.435</v>
      </c>
      <c r="D12" s="15">
        <f>B12/$B$17*$D$17</f>
        <v>0.06550193050193048</v>
      </c>
      <c r="E12" s="15">
        <f t="shared" si="1"/>
        <v>0.6365444015444014</v>
      </c>
      <c r="F12" s="15">
        <f>B12+D12+E12+C12</f>
        <v>5.487046332046331</v>
      </c>
      <c r="G12" s="18">
        <f>(B12+C12+D12)*$F$1+E12*$F$2</f>
        <v>361.89322818532816</v>
      </c>
      <c r="H12" s="9">
        <f>340+22</f>
        <v>362</v>
      </c>
      <c r="I12" s="18">
        <f>H12-G12</f>
        <v>0.10677181467184482</v>
      </c>
    </row>
    <row r="13" spans="1:9" s="4" customFormat="1" ht="15">
      <c r="A13" s="8" t="s">
        <v>46</v>
      </c>
      <c r="B13" s="14">
        <v>21.5</v>
      </c>
      <c r="C13" s="14">
        <f>B13*0.1</f>
        <v>2.15</v>
      </c>
      <c r="D13" s="15">
        <f>B13/$B$17*$D$17</f>
        <v>0.32374517374517375</v>
      </c>
      <c r="E13" s="15">
        <f t="shared" si="1"/>
        <v>3.146138996138996</v>
      </c>
      <c r="F13" s="15">
        <f>B13+D13+E13+C13</f>
        <v>27.119884169884166</v>
      </c>
      <c r="G13" s="18">
        <f>(B13+C13+D13)*$F$1+E13*$F$2</f>
        <v>1788.6676795366795</v>
      </c>
      <c r="H13" s="9">
        <f>1572+217</f>
        <v>1789</v>
      </c>
      <c r="I13" s="18">
        <f>H13-G13</f>
        <v>0.33232046332045684</v>
      </c>
    </row>
    <row r="14" spans="1:9" s="4" customFormat="1" ht="15">
      <c r="A14" s="30" t="s">
        <v>58</v>
      </c>
      <c r="B14" s="14">
        <v>3.75</v>
      </c>
      <c r="C14" s="14">
        <f>B14*0.1</f>
        <v>0.375</v>
      </c>
      <c r="D14" s="15">
        <f>B14/$B$17*$D$17</f>
        <v>0.056467181467181465</v>
      </c>
      <c r="E14" s="15">
        <f t="shared" si="1"/>
        <v>0.5487451737451737</v>
      </c>
      <c r="F14" s="15">
        <f>B14+D14+E14+C14</f>
        <v>4.730212355212355</v>
      </c>
      <c r="G14" s="18">
        <f>(B14+C14+D14)*$F$1+E14*$F$2</f>
        <v>311.9769208494209</v>
      </c>
      <c r="H14" s="9">
        <v>69</v>
      </c>
      <c r="I14" s="18">
        <f>H14-G14</f>
        <v>-242.97692084942088</v>
      </c>
    </row>
    <row r="15" spans="1:9" s="4" customFormat="1" ht="15">
      <c r="A15" s="8" t="s">
        <v>47</v>
      </c>
      <c r="B15" s="14">
        <v>8.05</v>
      </c>
      <c r="C15" s="14">
        <f>B15*0.1</f>
        <v>0.8050000000000002</v>
      </c>
      <c r="D15" s="15">
        <f>B15/$B$17*$D$17</f>
        <v>0.12121621621621623</v>
      </c>
      <c r="E15" s="15">
        <f t="shared" si="1"/>
        <v>1.177972972972973</v>
      </c>
      <c r="F15" s="15">
        <f>B15+D15+E15+C15</f>
        <v>10.154189189189191</v>
      </c>
      <c r="G15" s="18">
        <f>(B15+C15+D15)*$F$1+E15*$F$2</f>
        <v>669.7104567567569</v>
      </c>
      <c r="H15" s="9">
        <f>588+82</f>
        <v>670</v>
      </c>
      <c r="I15" s="18">
        <f>H15-G15</f>
        <v>0.289543243243088</v>
      </c>
    </row>
    <row r="16" spans="1:9" s="4" customFormat="1" ht="15">
      <c r="A16" s="10" t="s">
        <v>4</v>
      </c>
      <c r="B16" s="14">
        <f>66.55-3.75</f>
        <v>62.8</v>
      </c>
      <c r="C16" s="14"/>
      <c r="D16" s="15">
        <f t="shared" si="0"/>
        <v>0.9456370656370655</v>
      </c>
      <c r="E16" s="15">
        <f t="shared" si="1"/>
        <v>9.18965250965251</v>
      </c>
      <c r="F16" s="16"/>
      <c r="G16" s="11"/>
      <c r="H16" s="11"/>
      <c r="I16" s="11"/>
    </row>
    <row r="17" spans="1:9" s="4" customFormat="1" ht="15">
      <c r="A17" s="12"/>
      <c r="B17" s="17">
        <f>SUM(B4:B16)</f>
        <v>259</v>
      </c>
      <c r="C17" s="17"/>
      <c r="D17" s="17">
        <v>3.9</v>
      </c>
      <c r="E17" s="19">
        <v>37.9</v>
      </c>
      <c r="F17" s="25">
        <f>D17+E17</f>
        <v>41.8</v>
      </c>
      <c r="G17" s="31">
        <f>F17/B17</f>
        <v>0.16138996138996137</v>
      </c>
      <c r="H17" s="11"/>
      <c r="I17" s="11"/>
    </row>
    <row r="19" spans="1:7" s="4" customFormat="1" ht="25.5" customHeight="1">
      <c r="A19" s="20" t="s">
        <v>13</v>
      </c>
      <c r="E19" s="22" t="s">
        <v>33</v>
      </c>
      <c r="F19" s="3">
        <v>65.62</v>
      </c>
      <c r="G19" s="4" t="s">
        <v>8</v>
      </c>
    </row>
    <row r="20" spans="1:7" s="4" customFormat="1" ht="25.5" customHeight="1">
      <c r="A20" s="20"/>
      <c r="E20" s="22" t="s">
        <v>34</v>
      </c>
      <c r="F20" s="3">
        <v>68.1</v>
      </c>
      <c r="G20" s="4" t="s">
        <v>8</v>
      </c>
    </row>
    <row r="21" spans="1:9" s="7" customFormat="1" ht="58.5" customHeight="1">
      <c r="A21" s="5" t="s">
        <v>1</v>
      </c>
      <c r="B21" s="6" t="s">
        <v>6</v>
      </c>
      <c r="C21" s="6" t="s">
        <v>32</v>
      </c>
      <c r="D21" s="6" t="s">
        <v>9</v>
      </c>
      <c r="E21" s="6" t="s">
        <v>10</v>
      </c>
      <c r="F21" s="5" t="s">
        <v>7</v>
      </c>
      <c r="G21" s="5" t="s">
        <v>11</v>
      </c>
      <c r="H21" s="5" t="s">
        <v>2</v>
      </c>
      <c r="I21" s="5" t="s">
        <v>3</v>
      </c>
    </row>
    <row r="22" spans="1:9" s="4" customFormat="1" ht="15">
      <c r="A22" s="8" t="s">
        <v>28</v>
      </c>
      <c r="B22" s="14">
        <v>12.45</v>
      </c>
      <c r="C22" s="14">
        <f>B22*0.1</f>
        <v>1.245</v>
      </c>
      <c r="D22" s="15">
        <f>B22/$B$39*$D$39</f>
        <v>0.2205236811705814</v>
      </c>
      <c r="E22" s="15">
        <f aca="true" t="shared" si="6" ref="E22:E33">B22/$B$39*$E$39</f>
        <v>1.7641894493646513</v>
      </c>
      <c r="F22" s="15">
        <f>B22+D22+E22+C22</f>
        <v>15.679713130535234</v>
      </c>
      <c r="G22" s="18">
        <f>(B22+C22+D22)*$F$19+E22*$F$20</f>
        <v>1033.2779654601463</v>
      </c>
      <c r="H22" s="9">
        <f>912+121</f>
        <v>1033</v>
      </c>
      <c r="I22" s="18">
        <f aca="true" t="shared" si="7" ref="I22:I33">H22-G22</f>
        <v>-0.2779654601463335</v>
      </c>
    </row>
    <row r="23" spans="1:9" s="4" customFormat="1" ht="15">
      <c r="A23" s="8" t="s">
        <v>48</v>
      </c>
      <c r="B23" s="14">
        <v>7.4</v>
      </c>
      <c r="C23" s="14">
        <f aca="true" t="shared" si="8" ref="C23:C33">B23*0.1</f>
        <v>0.7400000000000001</v>
      </c>
      <c r="D23" s="15">
        <f aca="true" t="shared" si="9" ref="D23:D38">B23/$B$39*$D$39</f>
        <v>0.13107431651906046</v>
      </c>
      <c r="E23" s="15">
        <f t="shared" si="6"/>
        <v>1.0485945321524837</v>
      </c>
      <c r="F23" s="15">
        <f aca="true" t="shared" si="10" ref="F23:F33">B23+D23+E23+C23</f>
        <v>9.319668848671546</v>
      </c>
      <c r="G23" s="18">
        <f aca="true" t="shared" si="11" ref="G23:G33">(B23+C23+D23)*$F$19+E23*$F$20</f>
        <v>614.157184289565</v>
      </c>
      <c r="H23" s="9">
        <f>542+72</f>
        <v>614</v>
      </c>
      <c r="I23" s="18">
        <f>H23-G23</f>
        <v>-0.15718428956495245</v>
      </c>
    </row>
    <row r="24" spans="1:10" s="4" customFormat="1" ht="15">
      <c r="A24" s="8" t="s">
        <v>49</v>
      </c>
      <c r="B24" s="14">
        <v>15.35</v>
      </c>
      <c r="C24" s="14">
        <f t="shared" si="8"/>
        <v>1.5350000000000001</v>
      </c>
      <c r="D24" s="15">
        <f t="shared" si="9"/>
        <v>0.2718906430496727</v>
      </c>
      <c r="E24" s="15">
        <f t="shared" si="6"/>
        <v>2.1751251443973816</v>
      </c>
      <c r="F24" s="15">
        <f t="shared" si="10"/>
        <v>19.332015787447055</v>
      </c>
      <c r="G24" s="18">
        <f t="shared" si="11"/>
        <v>1273.961186330381</v>
      </c>
      <c r="H24" s="9">
        <f>1124+150</f>
        <v>1274</v>
      </c>
      <c r="I24" s="18">
        <f t="shared" si="7"/>
        <v>0.03881366961900312</v>
      </c>
      <c r="J24" s="4" t="s">
        <v>60</v>
      </c>
    </row>
    <row r="25" spans="1:9" s="4" customFormat="1" ht="15">
      <c r="A25" s="8" t="s">
        <v>50</v>
      </c>
      <c r="B25" s="14">
        <v>21.6</v>
      </c>
      <c r="C25" s="14">
        <f t="shared" si="8"/>
        <v>2.16</v>
      </c>
      <c r="D25" s="15">
        <f t="shared" si="9"/>
        <v>0.3825953022718521</v>
      </c>
      <c r="E25" s="15">
        <f t="shared" si="6"/>
        <v>3.060762418174817</v>
      </c>
      <c r="F25" s="15">
        <f t="shared" si="10"/>
        <v>27.20335772044667</v>
      </c>
      <c r="G25" s="18">
        <f t="shared" si="11"/>
        <v>1792.6750244127843</v>
      </c>
      <c r="H25" s="9">
        <f>1582+211</f>
        <v>1793</v>
      </c>
      <c r="I25" s="18">
        <f t="shared" si="7"/>
        <v>0.32497558721570385</v>
      </c>
    </row>
    <row r="26" spans="1:9" s="4" customFormat="1" ht="15">
      <c r="A26" s="8" t="s">
        <v>51</v>
      </c>
      <c r="B26" s="14">
        <v>11.05</v>
      </c>
      <c r="C26" s="14">
        <f t="shared" si="8"/>
        <v>1.1050000000000002</v>
      </c>
      <c r="D26" s="15">
        <f t="shared" si="9"/>
        <v>0.19572583750481326</v>
      </c>
      <c r="E26" s="15">
        <f t="shared" si="6"/>
        <v>1.565806700038506</v>
      </c>
      <c r="F26" s="15">
        <f t="shared" si="10"/>
        <v>13.91653253754332</v>
      </c>
      <c r="G26" s="18">
        <f t="shared" si="11"/>
        <v>917.0860657296882</v>
      </c>
      <c r="H26" s="9">
        <f>809+108</f>
        <v>917</v>
      </c>
      <c r="I26" s="18">
        <f t="shared" si="7"/>
        <v>-0.08606572968824366</v>
      </c>
    </row>
    <row r="27" spans="1:9" s="4" customFormat="1" ht="15">
      <c r="A27" s="8" t="s">
        <v>52</v>
      </c>
      <c r="B27" s="14">
        <f>15+4.3</f>
        <v>19.3</v>
      </c>
      <c r="C27" s="14">
        <f t="shared" si="8"/>
        <v>1.9300000000000002</v>
      </c>
      <c r="D27" s="15">
        <f t="shared" si="9"/>
        <v>0.3418559876780901</v>
      </c>
      <c r="E27" s="15">
        <f t="shared" si="6"/>
        <v>2.734847901424721</v>
      </c>
      <c r="F27" s="15">
        <f t="shared" si="10"/>
        <v>24.306703889102813</v>
      </c>
      <c r="G27" s="18">
        <f t="shared" si="11"/>
        <v>1601.7883319984599</v>
      </c>
      <c r="H27" s="9">
        <f>460+640+502</f>
        <v>1602</v>
      </c>
      <c r="I27" s="18">
        <f t="shared" si="7"/>
        <v>0.2116680015401471</v>
      </c>
    </row>
    <row r="28" spans="1:9" s="4" customFormat="1" ht="15">
      <c r="A28" s="8" t="s">
        <v>5</v>
      </c>
      <c r="B28" s="14">
        <v>19.15</v>
      </c>
      <c r="C28" s="14">
        <f t="shared" si="8"/>
        <v>1.915</v>
      </c>
      <c r="D28" s="15">
        <f t="shared" si="9"/>
        <v>0.33919907585675774</v>
      </c>
      <c r="E28" s="15">
        <f t="shared" si="6"/>
        <v>2.713592606854062</v>
      </c>
      <c r="F28" s="15">
        <f t="shared" si="10"/>
        <v>24.117791682710816</v>
      </c>
      <c r="G28" s="18">
        <f t="shared" si="11"/>
        <v>1589.339199884482</v>
      </c>
      <c r="H28" s="9">
        <f>1403+200</f>
        <v>1603</v>
      </c>
      <c r="I28" s="18">
        <f t="shared" si="7"/>
        <v>13.660800115517986</v>
      </c>
    </row>
    <row r="29" spans="1:9" s="4" customFormat="1" ht="15">
      <c r="A29" s="8" t="s">
        <v>53</v>
      </c>
      <c r="B29" s="14">
        <v>8.35</v>
      </c>
      <c r="C29" s="14">
        <f t="shared" si="8"/>
        <v>0.835</v>
      </c>
      <c r="D29" s="15">
        <f t="shared" si="9"/>
        <v>0.1479014247208317</v>
      </c>
      <c r="E29" s="15">
        <f t="shared" si="6"/>
        <v>1.1832113977666536</v>
      </c>
      <c r="F29" s="15">
        <f t="shared" si="10"/>
        <v>10.516112822487486</v>
      </c>
      <c r="G29" s="18">
        <f t="shared" si="11"/>
        <v>693.00168767809</v>
      </c>
      <c r="H29" s="9">
        <f>612+81</f>
        <v>693</v>
      </c>
      <c r="I29" s="18">
        <f t="shared" si="7"/>
        <v>-0.001687678089979272</v>
      </c>
    </row>
    <row r="30" spans="1:9" s="4" customFormat="1" ht="15">
      <c r="A30" s="8" t="s">
        <v>16</v>
      </c>
      <c r="B30" s="14">
        <v>4.3</v>
      </c>
      <c r="C30" s="14">
        <f t="shared" si="8"/>
        <v>0.43</v>
      </c>
      <c r="D30" s="15">
        <f t="shared" si="9"/>
        <v>0.07616480554485945</v>
      </c>
      <c r="E30" s="15">
        <f t="shared" si="6"/>
        <v>0.6093184443588756</v>
      </c>
      <c r="F30" s="15">
        <f t="shared" si="10"/>
        <v>5.415483249903735</v>
      </c>
      <c r="G30" s="18">
        <f t="shared" si="11"/>
        <v>356.8751206006931</v>
      </c>
      <c r="H30" s="9">
        <f>315+42</f>
        <v>357</v>
      </c>
      <c r="I30" s="18">
        <f t="shared" si="7"/>
        <v>0.12487939930690573</v>
      </c>
    </row>
    <row r="31" spans="1:10" s="4" customFormat="1" ht="15">
      <c r="A31" s="8" t="s">
        <v>54</v>
      </c>
      <c r="B31" s="14">
        <v>17.2</v>
      </c>
      <c r="C31" s="14">
        <f t="shared" si="8"/>
        <v>1.72</v>
      </c>
      <c r="D31" s="15">
        <f t="shared" si="9"/>
        <v>0.3046592221794378</v>
      </c>
      <c r="E31" s="15">
        <f t="shared" si="6"/>
        <v>2.4372737774355024</v>
      </c>
      <c r="F31" s="15">
        <f t="shared" si="10"/>
        <v>21.66193299961494</v>
      </c>
      <c r="G31" s="18">
        <f t="shared" si="11"/>
        <v>1427.5004824027724</v>
      </c>
      <c r="H31" s="9">
        <f>1260+168</f>
        <v>1428</v>
      </c>
      <c r="I31" s="18">
        <f t="shared" si="7"/>
        <v>0.4995175972276229</v>
      </c>
      <c r="J31" s="24"/>
    </row>
    <row r="32" spans="1:9" s="4" customFormat="1" ht="15">
      <c r="A32" s="8" t="s">
        <v>27</v>
      </c>
      <c r="B32" s="23">
        <v>9.55</v>
      </c>
      <c r="C32" s="14">
        <f t="shared" si="8"/>
        <v>0.9550000000000001</v>
      </c>
      <c r="D32" s="15">
        <f t="shared" si="9"/>
        <v>0.16915671929149018</v>
      </c>
      <c r="E32" s="15">
        <f t="shared" si="6"/>
        <v>1.3532537543319214</v>
      </c>
      <c r="F32" s="15">
        <f t="shared" si="10"/>
        <v>12.027410473623412</v>
      </c>
      <c r="G32" s="18">
        <f t="shared" si="11"/>
        <v>792.5947445899114</v>
      </c>
      <c r="H32" s="9">
        <f>700+93</f>
        <v>793</v>
      </c>
      <c r="I32" s="18">
        <f t="shared" si="7"/>
        <v>0.40525541008855726</v>
      </c>
    </row>
    <row r="33" spans="1:10" s="4" customFormat="1" ht="15">
      <c r="A33" s="8" t="s">
        <v>30</v>
      </c>
      <c r="B33" s="14">
        <v>21.2</v>
      </c>
      <c r="C33" s="14">
        <f t="shared" si="8"/>
        <v>2.12</v>
      </c>
      <c r="D33" s="15">
        <f>B33/$B$39*$D$39</f>
        <v>0.37551020408163266</v>
      </c>
      <c r="E33" s="15">
        <f t="shared" si="6"/>
        <v>3.0040816326530613</v>
      </c>
      <c r="F33" s="15">
        <f t="shared" si="10"/>
        <v>26.699591836734694</v>
      </c>
      <c r="G33" s="18">
        <f t="shared" si="11"/>
        <v>1759.4773387755104</v>
      </c>
      <c r="H33" s="9">
        <f>56+1497+206</f>
        <v>1759</v>
      </c>
      <c r="I33" s="18">
        <f t="shared" si="7"/>
        <v>-0.4773387755103613</v>
      </c>
      <c r="J33" s="28" t="s">
        <v>59</v>
      </c>
    </row>
    <row r="34" spans="1:9" s="4" customFormat="1" ht="15">
      <c r="A34" s="8" t="s">
        <v>55</v>
      </c>
      <c r="B34" s="14">
        <v>15.3</v>
      </c>
      <c r="C34" s="14">
        <f>B34*0.1</f>
        <v>1.5300000000000002</v>
      </c>
      <c r="D34" s="15">
        <f>B34/$B$39*$D$39</f>
        <v>0.27100500577589526</v>
      </c>
      <c r="E34" s="15">
        <f>B34/$B$39*$E$39</f>
        <v>2.168040046207162</v>
      </c>
      <c r="F34" s="15">
        <f>B34+D34+E34+C34</f>
        <v>19.26904505198306</v>
      </c>
      <c r="G34" s="18">
        <f>(B34+C34+D34)*$F$19+E34*$F$20</f>
        <v>1269.811475625722</v>
      </c>
      <c r="H34" s="9">
        <f>1121+149</f>
        <v>1270</v>
      </c>
      <c r="I34" s="18">
        <f>H34-G34</f>
        <v>0.18852437427790392</v>
      </c>
    </row>
    <row r="35" spans="1:9" s="4" customFormat="1" ht="15">
      <c r="A35" s="8" t="s">
        <v>56</v>
      </c>
      <c r="B35" s="14">
        <v>11.45</v>
      </c>
      <c r="C35" s="14">
        <f>B35*0.1</f>
        <v>1.145</v>
      </c>
      <c r="D35" s="15">
        <f>B35/$B$39*$D$39</f>
        <v>0.2028109356950327</v>
      </c>
      <c r="E35" s="15">
        <f>B35/$B$39*$E$39</f>
        <v>1.6224874855602616</v>
      </c>
      <c r="F35" s="15">
        <f>B35+D35+E35+C35</f>
        <v>14.420298421255293</v>
      </c>
      <c r="G35" s="18">
        <f>(B35+C35+D35)*$F$19+E35*$F$20</f>
        <v>950.2837513669617</v>
      </c>
      <c r="H35" s="9">
        <f>839+111</f>
        <v>950</v>
      </c>
      <c r="I35" s="18">
        <f>H35-G35</f>
        <v>-0.28375136696172376</v>
      </c>
    </row>
    <row r="36" spans="1:9" s="4" customFormat="1" ht="15">
      <c r="A36" s="8" t="s">
        <v>57</v>
      </c>
      <c r="B36" s="14">
        <v>13.75</v>
      </c>
      <c r="C36" s="14">
        <f>B36*0.1</f>
        <v>1.375</v>
      </c>
      <c r="D36" s="15">
        <f>B36/$B$39*$D$39</f>
        <v>0.24355025028879473</v>
      </c>
      <c r="E36" s="15">
        <f>B36/$B$39*$E$39</f>
        <v>1.9484020023103579</v>
      </c>
      <c r="F36" s="15">
        <f>B36+D36+E36+C36</f>
        <v>17.31695225259915</v>
      </c>
      <c r="G36" s="18">
        <f>(B36+C36+D36)*$F$19+E36*$F$20</f>
        <v>1141.1704437812862</v>
      </c>
      <c r="H36" s="9">
        <f>1025+116</f>
        <v>1141</v>
      </c>
      <c r="I36" s="18">
        <f>H36-G36</f>
        <v>-0.170443781286167</v>
      </c>
    </row>
    <row r="37" spans="1:9" s="4" customFormat="1" ht="15">
      <c r="A37" s="30" t="s">
        <v>58</v>
      </c>
      <c r="B37" s="14">
        <f>4.9+4.3</f>
        <v>9.2</v>
      </c>
      <c r="C37" s="14">
        <f>B37*0.1</f>
        <v>0.9199999999999999</v>
      </c>
      <c r="D37" s="15">
        <f>B37/$B$39*$D$39</f>
        <v>0.16295725837504813</v>
      </c>
      <c r="E37" s="15">
        <f>B37/$B$39*$E$39</f>
        <v>1.303658067000385</v>
      </c>
      <c r="F37" s="15">
        <f>B37+D37+E37+C37</f>
        <v>11.586615325375432</v>
      </c>
      <c r="G37" s="18">
        <f>(B37+C37+D37)*$F$19+E37*$F$20</f>
        <v>763.5467696572969</v>
      </c>
      <c r="H37" s="9">
        <v>1007</v>
      </c>
      <c r="I37" s="18">
        <f>H37-G37</f>
        <v>243.45323034270314</v>
      </c>
    </row>
    <row r="38" spans="1:9" s="4" customFormat="1" ht="15">
      <c r="A38" s="10" t="s">
        <v>4</v>
      </c>
      <c r="B38" s="23">
        <f>51.7-4.3*2</f>
        <v>43.1</v>
      </c>
      <c r="C38" s="14">
        <f>B38*0.1</f>
        <v>4.3100000000000005</v>
      </c>
      <c r="D38" s="15">
        <f t="shared" si="9"/>
        <v>0.7634193299961494</v>
      </c>
      <c r="E38" s="15">
        <f>B38/$B$39*$E$39</f>
        <v>6.107354639969195</v>
      </c>
      <c r="F38" s="16"/>
      <c r="G38" s="11"/>
      <c r="H38" s="11"/>
      <c r="I38" s="11"/>
    </row>
    <row r="39" spans="1:9" s="4" customFormat="1" ht="15">
      <c r="A39" s="12"/>
      <c r="B39" s="17">
        <f>SUM(B22:B38)</f>
        <v>259.7</v>
      </c>
      <c r="C39" s="17"/>
      <c r="D39" s="17">
        <v>4.6</v>
      </c>
      <c r="E39" s="19">
        <v>36.8</v>
      </c>
      <c r="F39" s="29">
        <f>D39+E39</f>
        <v>41.4</v>
      </c>
      <c r="G39" s="31">
        <f>F39/B39</f>
        <v>0.1594147092799384</v>
      </c>
      <c r="H39" s="11"/>
      <c r="I39" s="11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18.8515625" style="0" customWidth="1"/>
    <col min="2" max="2" width="17.140625" style="0" customWidth="1"/>
    <col min="4" max="4" width="14.7109375" style="0" customWidth="1"/>
    <col min="5" max="5" width="21.57421875" style="0" customWidth="1"/>
    <col min="6" max="6" width="9.57421875" style="0" bestFit="1" customWidth="1"/>
    <col min="8" max="8" width="13.00390625" style="0" customWidth="1"/>
  </cols>
  <sheetData>
    <row r="1" spans="1:7" s="4" customFormat="1" ht="21.75" customHeight="1">
      <c r="A1" s="1" t="s">
        <v>0</v>
      </c>
      <c r="B1" s="2">
        <v>41964</v>
      </c>
      <c r="C1" s="2"/>
      <c r="D1" s="22"/>
      <c r="E1" s="22" t="s">
        <v>33</v>
      </c>
      <c r="F1" s="3">
        <v>73.19</v>
      </c>
      <c r="G1" s="4" t="s">
        <v>8</v>
      </c>
    </row>
    <row r="2" spans="1:7" s="4" customFormat="1" ht="23.25" customHeight="1">
      <c r="A2" s="38" t="s">
        <v>76</v>
      </c>
      <c r="D2" s="22"/>
      <c r="E2" s="22" t="s">
        <v>34</v>
      </c>
      <c r="F2" s="3">
        <v>86.75</v>
      </c>
      <c r="G2" s="4" t="s">
        <v>8</v>
      </c>
    </row>
    <row r="3" spans="1:9" s="7" customFormat="1" ht="58.5" customHeight="1">
      <c r="A3" s="5" t="s">
        <v>1</v>
      </c>
      <c r="B3" s="6" t="s">
        <v>6</v>
      </c>
      <c r="C3" s="6" t="s">
        <v>32</v>
      </c>
      <c r="D3" s="6" t="s">
        <v>9</v>
      </c>
      <c r="E3" s="6" t="s">
        <v>10</v>
      </c>
      <c r="F3" s="5" t="s">
        <v>7</v>
      </c>
      <c r="G3" s="5" t="s">
        <v>11</v>
      </c>
      <c r="H3" s="5" t="s">
        <v>2</v>
      </c>
      <c r="I3" s="5" t="s">
        <v>3</v>
      </c>
    </row>
    <row r="4" spans="1:10" s="4" customFormat="1" ht="15">
      <c r="A4" s="8" t="s">
        <v>47</v>
      </c>
      <c r="B4" s="14">
        <v>4.9</v>
      </c>
      <c r="C4" s="14">
        <f>B4*0.1</f>
        <v>0.49000000000000005</v>
      </c>
      <c r="D4" s="37"/>
      <c r="E4" s="15">
        <f>B4/$B$20*$E$20</f>
        <v>0.5279000196811652</v>
      </c>
      <c r="F4" s="15">
        <f>B4+D4+E4+C4</f>
        <v>5.9179000196811655</v>
      </c>
      <c r="G4" s="18">
        <f>(B4+C4+D4)*$F$1+E4*$F$2</f>
        <v>440.2894267073411</v>
      </c>
      <c r="H4" s="9">
        <f>402+38</f>
        <v>440</v>
      </c>
      <c r="I4" s="18">
        <f aca="true" t="shared" si="0" ref="I4:I11">H4-G4</f>
        <v>-0.2894267073410788</v>
      </c>
      <c r="J4" s="26"/>
    </row>
    <row r="5" spans="1:9" s="4" customFormat="1" ht="15">
      <c r="A5" s="8" t="s">
        <v>61</v>
      </c>
      <c r="B5" s="14">
        <v>7.5</v>
      </c>
      <c r="C5" s="14">
        <f aca="true" t="shared" si="1" ref="C5:C11">B5*0.1</f>
        <v>0.75</v>
      </c>
      <c r="D5" s="37"/>
      <c r="E5" s="15">
        <f aca="true" t="shared" si="2" ref="E5:E19">B5/$B$20*$E$20</f>
        <v>0.808010234205865</v>
      </c>
      <c r="F5" s="15">
        <f aca="true" t="shared" si="3" ref="F5:F11">B5+D5+E5+C5</f>
        <v>9.058010234205865</v>
      </c>
      <c r="G5" s="18">
        <f aca="true" t="shared" si="4" ref="G5:G10">(B5+C5+D5)*$F$1+E5*$F$2</f>
        <v>673.9123878173588</v>
      </c>
      <c r="H5" s="9">
        <f>616+58</f>
        <v>674</v>
      </c>
      <c r="I5" s="18">
        <f t="shared" si="0"/>
        <v>0.08761218264123727</v>
      </c>
    </row>
    <row r="6" spans="1:9" s="4" customFormat="1" ht="15">
      <c r="A6" s="8" t="s">
        <v>62</v>
      </c>
      <c r="B6" s="14">
        <v>11.35</v>
      </c>
      <c r="C6" s="14">
        <f t="shared" si="1"/>
        <v>1.135</v>
      </c>
      <c r="D6" s="37"/>
      <c r="E6" s="15">
        <f t="shared" si="2"/>
        <v>1.222788821098209</v>
      </c>
      <c r="F6" s="15">
        <f t="shared" si="3"/>
        <v>13.707788821098209</v>
      </c>
      <c r="G6" s="18">
        <f t="shared" si="4"/>
        <v>1019.8540802302696</v>
      </c>
      <c r="H6" s="9">
        <f>932+88</f>
        <v>1020</v>
      </c>
      <c r="I6" s="18">
        <f t="shared" si="0"/>
        <v>0.1459197697304262</v>
      </c>
    </row>
    <row r="7" spans="1:9" s="4" customFormat="1" ht="15">
      <c r="A7" s="8" t="s">
        <v>41</v>
      </c>
      <c r="B7" s="14">
        <v>5.95</v>
      </c>
      <c r="C7" s="14">
        <f t="shared" si="1"/>
        <v>0.5950000000000001</v>
      </c>
      <c r="D7" s="37"/>
      <c r="E7" s="15">
        <f t="shared" si="2"/>
        <v>0.6410214524699862</v>
      </c>
      <c r="F7" s="15">
        <f t="shared" si="3"/>
        <v>7.186021452469986</v>
      </c>
      <c r="G7" s="18">
        <f t="shared" si="4"/>
        <v>534.6371610017713</v>
      </c>
      <c r="H7" s="9">
        <f>488+47</f>
        <v>535</v>
      </c>
      <c r="I7" s="18">
        <f t="shared" si="0"/>
        <v>0.3628389982286535</v>
      </c>
    </row>
    <row r="8" spans="1:9" s="4" customFormat="1" ht="15">
      <c r="A8" s="8" t="s">
        <v>63</v>
      </c>
      <c r="B8" s="14">
        <v>19.05</v>
      </c>
      <c r="C8" s="14">
        <f t="shared" si="1"/>
        <v>1.9050000000000002</v>
      </c>
      <c r="D8" s="37"/>
      <c r="E8" s="15">
        <f t="shared" si="2"/>
        <v>2.052345994882897</v>
      </c>
      <c r="F8" s="15">
        <f t="shared" si="3"/>
        <v>23.007345994882897</v>
      </c>
      <c r="G8" s="18">
        <f t="shared" si="4"/>
        <v>1711.7374650560914</v>
      </c>
      <c r="H8" s="9">
        <f>1600+112</f>
        <v>1712</v>
      </c>
      <c r="I8" s="18">
        <f t="shared" si="0"/>
        <v>0.2625349439085767</v>
      </c>
    </row>
    <row r="9" spans="1:9" s="4" customFormat="1" ht="15">
      <c r="A9" s="8" t="s">
        <v>5</v>
      </c>
      <c r="B9" s="14">
        <v>20.2</v>
      </c>
      <c r="C9" s="14">
        <f t="shared" si="1"/>
        <v>2.02</v>
      </c>
      <c r="D9" s="37"/>
      <c r="E9" s="15">
        <f t="shared" si="2"/>
        <v>2.17624089746113</v>
      </c>
      <c r="F9" s="15">
        <f t="shared" si="3"/>
        <v>24.39624089746113</v>
      </c>
      <c r="G9" s="18">
        <f t="shared" si="4"/>
        <v>1815.070697854753</v>
      </c>
      <c r="H9" s="9">
        <f>1660+155</f>
        <v>1815</v>
      </c>
      <c r="I9" s="18">
        <f t="shared" si="0"/>
        <v>-0.07069785475300705</v>
      </c>
    </row>
    <row r="10" spans="1:9" s="4" customFormat="1" ht="15">
      <c r="A10" s="8" t="s">
        <v>64</v>
      </c>
      <c r="B10" s="14">
        <v>22.15</v>
      </c>
      <c r="C10" s="14">
        <f t="shared" si="1"/>
        <v>2.215</v>
      </c>
      <c r="D10" s="37"/>
      <c r="E10" s="15">
        <f t="shared" si="2"/>
        <v>2.3863235583546545</v>
      </c>
      <c r="F10" s="15">
        <f t="shared" si="3"/>
        <v>26.751323558354652</v>
      </c>
      <c r="G10" s="18">
        <f t="shared" si="4"/>
        <v>1990.2879186872663</v>
      </c>
      <c r="H10" s="9">
        <f>1818+182</f>
        <v>2000</v>
      </c>
      <c r="I10" s="18">
        <f t="shared" si="0"/>
        <v>9.712081312733744</v>
      </c>
    </row>
    <row r="11" spans="1:9" s="4" customFormat="1" ht="15">
      <c r="A11" s="8" t="s">
        <v>65</v>
      </c>
      <c r="B11" s="14">
        <v>4.45</v>
      </c>
      <c r="C11" s="14">
        <f t="shared" si="1"/>
        <v>0.44500000000000006</v>
      </c>
      <c r="D11" s="37"/>
      <c r="E11" s="15">
        <f t="shared" si="2"/>
        <v>0.47941940562881324</v>
      </c>
      <c r="F11" s="15">
        <f t="shared" si="3"/>
        <v>5.374419405628814</v>
      </c>
      <c r="G11" s="18">
        <f aca="true" t="shared" si="5" ref="G11:G18">(B11+C11+D11)*$F$1+E11*$F$2</f>
        <v>399.85468343829956</v>
      </c>
      <c r="H11" s="9">
        <f>365+35</f>
        <v>400</v>
      </c>
      <c r="I11" s="18">
        <f t="shared" si="0"/>
        <v>0.14531656170044016</v>
      </c>
    </row>
    <row r="12" spans="1:9" s="4" customFormat="1" ht="15">
      <c r="A12" s="8" t="s">
        <v>66</v>
      </c>
      <c r="B12" s="14">
        <v>7.5</v>
      </c>
      <c r="C12" s="14">
        <f aca="true" t="shared" si="6" ref="C12:C18">B12*0.1</f>
        <v>0.75</v>
      </c>
      <c r="D12" s="37"/>
      <c r="E12" s="15">
        <f t="shared" si="2"/>
        <v>0.808010234205865</v>
      </c>
      <c r="F12" s="15">
        <f aca="true" t="shared" si="7" ref="F12:F18">B12+D12+E12+C12</f>
        <v>9.058010234205865</v>
      </c>
      <c r="G12" s="18">
        <f t="shared" si="5"/>
        <v>673.9123878173588</v>
      </c>
      <c r="H12" s="9">
        <f>616+50</f>
        <v>666</v>
      </c>
      <c r="I12" s="18">
        <f aca="true" t="shared" si="8" ref="I12:I18">H12-G12</f>
        <v>-7.912387817358763</v>
      </c>
    </row>
    <row r="13" spans="1:9" s="4" customFormat="1" ht="15">
      <c r="A13" s="8" t="s">
        <v>67</v>
      </c>
      <c r="B13" s="14">
        <v>7.5</v>
      </c>
      <c r="C13" s="14">
        <f t="shared" si="6"/>
        <v>0.75</v>
      </c>
      <c r="D13" s="37"/>
      <c r="E13" s="15">
        <f t="shared" si="2"/>
        <v>0.808010234205865</v>
      </c>
      <c r="F13" s="15">
        <f t="shared" si="7"/>
        <v>9.058010234205865</v>
      </c>
      <c r="G13" s="18">
        <f t="shared" si="5"/>
        <v>673.9123878173588</v>
      </c>
      <c r="H13" s="9">
        <f>616+58</f>
        <v>674</v>
      </c>
      <c r="I13" s="18">
        <f t="shared" si="8"/>
        <v>0.08761218264123727</v>
      </c>
    </row>
    <row r="14" spans="1:9" s="4" customFormat="1" ht="15">
      <c r="A14" s="8" t="s">
        <v>68</v>
      </c>
      <c r="B14" s="14">
        <v>7.55</v>
      </c>
      <c r="C14" s="14">
        <f t="shared" si="6"/>
        <v>0.755</v>
      </c>
      <c r="D14" s="37"/>
      <c r="E14" s="15">
        <f t="shared" si="2"/>
        <v>0.8133969691005708</v>
      </c>
      <c r="F14" s="15">
        <f t="shared" si="7"/>
        <v>9.118396969100571</v>
      </c>
      <c r="G14" s="18">
        <f t="shared" si="5"/>
        <v>678.4051370694744</v>
      </c>
      <c r="H14" s="9">
        <f>620+58</f>
        <v>678</v>
      </c>
      <c r="I14" s="18">
        <f t="shared" si="8"/>
        <v>-0.40513706947444916</v>
      </c>
    </row>
    <row r="15" spans="1:9" s="4" customFormat="1" ht="15">
      <c r="A15" s="8" t="s">
        <v>69</v>
      </c>
      <c r="B15" s="14">
        <v>8.8</v>
      </c>
      <c r="C15" s="14">
        <f t="shared" si="6"/>
        <v>0.8800000000000001</v>
      </c>
      <c r="D15" s="37"/>
      <c r="E15" s="15">
        <f t="shared" si="2"/>
        <v>0.948065341468215</v>
      </c>
      <c r="F15" s="15">
        <f t="shared" si="7"/>
        <v>10.628065341468217</v>
      </c>
      <c r="G15" s="18">
        <f t="shared" si="5"/>
        <v>790.7238683723677</v>
      </c>
      <c r="H15" s="9">
        <f>600+122+69</f>
        <v>791</v>
      </c>
      <c r="I15" s="18">
        <f t="shared" si="8"/>
        <v>0.2761316276322532</v>
      </c>
    </row>
    <row r="16" spans="1:9" s="4" customFormat="1" ht="15">
      <c r="A16" s="8" t="s">
        <v>70</v>
      </c>
      <c r="B16" s="14">
        <v>17.2</v>
      </c>
      <c r="C16" s="14">
        <f t="shared" si="6"/>
        <v>1.72</v>
      </c>
      <c r="D16" s="37"/>
      <c r="E16" s="15">
        <f>B16/$B$20*$E$20</f>
        <v>1.8530368037787834</v>
      </c>
      <c r="F16" s="15">
        <f t="shared" si="7"/>
        <v>20.77303680377878</v>
      </c>
      <c r="G16" s="18">
        <f t="shared" si="5"/>
        <v>1545.5057427278093</v>
      </c>
      <c r="H16" s="9">
        <f>1429+117</f>
        <v>1546</v>
      </c>
      <c r="I16" s="18">
        <f t="shared" si="8"/>
        <v>0.49425727219067994</v>
      </c>
    </row>
    <row r="17" spans="1:9" s="4" customFormat="1" ht="15">
      <c r="A17" s="8" t="s">
        <v>71</v>
      </c>
      <c r="B17" s="14">
        <v>5.25</v>
      </c>
      <c r="C17" s="14">
        <f t="shared" si="6"/>
        <v>0.525</v>
      </c>
      <c r="D17" s="37"/>
      <c r="E17" s="15">
        <f>B17/$B$20*$E$20</f>
        <v>0.5656071639441055</v>
      </c>
      <c r="F17" s="15">
        <f t="shared" si="7"/>
        <v>6.340607163944106</v>
      </c>
      <c r="G17" s="18">
        <f t="shared" si="5"/>
        <v>471.73867147215117</v>
      </c>
      <c r="H17" s="9">
        <f>431+41</f>
        <v>472</v>
      </c>
      <c r="I17" s="18">
        <f t="shared" si="8"/>
        <v>0.261328527848832</v>
      </c>
    </row>
    <row r="18" spans="1:9" s="4" customFormat="1" ht="15">
      <c r="A18" s="8" t="s">
        <v>72</v>
      </c>
      <c r="B18" s="14">
        <v>12.75</v>
      </c>
      <c r="C18" s="14">
        <f t="shared" si="6"/>
        <v>1.2750000000000001</v>
      </c>
      <c r="D18" s="37"/>
      <c r="E18" s="15">
        <f>B18/$B$20*$E$20</f>
        <v>1.3736173981499704</v>
      </c>
      <c r="F18" s="15">
        <f t="shared" si="7"/>
        <v>15.398617398149971</v>
      </c>
      <c r="G18" s="18">
        <f t="shared" si="5"/>
        <v>1145.65105928951</v>
      </c>
      <c r="H18" s="9">
        <f>1047+100</f>
        <v>1147</v>
      </c>
      <c r="I18" s="18">
        <f t="shared" si="8"/>
        <v>1.3489407104900693</v>
      </c>
    </row>
    <row r="19" spans="1:9" s="4" customFormat="1" ht="15">
      <c r="A19" s="10" t="s">
        <v>4</v>
      </c>
      <c r="B19" s="14">
        <v>91.95</v>
      </c>
      <c r="C19" s="14"/>
      <c r="D19" s="37"/>
      <c r="E19" s="15">
        <f t="shared" si="2"/>
        <v>9.906205471363904</v>
      </c>
      <c r="F19" s="25"/>
      <c r="G19" s="11"/>
      <c r="H19" s="11"/>
      <c r="I19" s="11"/>
    </row>
    <row r="20" spans="1:9" s="4" customFormat="1" ht="15">
      <c r="A20" s="12"/>
      <c r="B20" s="17">
        <f>SUM(B4:B19)</f>
        <v>254.05</v>
      </c>
      <c r="C20" s="17"/>
      <c r="D20" s="17">
        <v>0</v>
      </c>
      <c r="E20" s="19">
        <v>27.37</v>
      </c>
      <c r="F20" s="25"/>
      <c r="G20" s="31"/>
      <c r="H20" s="11"/>
      <c r="I20" s="11"/>
    </row>
    <row r="21" ht="39.75" customHeight="1">
      <c r="A21" s="38" t="s">
        <v>77</v>
      </c>
    </row>
    <row r="22" spans="1:9" s="7" customFormat="1" ht="58.5" customHeight="1">
      <c r="A22" s="5" t="s">
        <v>1</v>
      </c>
      <c r="B22" s="5" t="s">
        <v>6</v>
      </c>
      <c r="C22" s="5" t="s">
        <v>32</v>
      </c>
      <c r="D22" s="5" t="s">
        <v>9</v>
      </c>
      <c r="E22" s="5" t="s">
        <v>10</v>
      </c>
      <c r="F22" s="5" t="s">
        <v>7</v>
      </c>
      <c r="G22" s="5" t="s">
        <v>11</v>
      </c>
      <c r="H22" s="5" t="s">
        <v>2</v>
      </c>
      <c r="I22" s="5" t="s">
        <v>3</v>
      </c>
    </row>
    <row r="23" spans="1:9" ht="15">
      <c r="A23" s="36" t="s">
        <v>75</v>
      </c>
      <c r="B23" s="23">
        <v>92</v>
      </c>
      <c r="C23" s="23">
        <f>B23*0.1</f>
        <v>9.200000000000001</v>
      </c>
      <c r="D23" s="23">
        <v>2.5</v>
      </c>
      <c r="E23" s="23">
        <v>8.93</v>
      </c>
      <c r="F23" s="23">
        <f>B23+C23+D23+E23</f>
        <v>112.63</v>
      </c>
      <c r="G23" s="23">
        <f>(38*1.1+2.5)*71.88+54*1.1*76.61+E23*86.75</f>
        <v>8509.5955</v>
      </c>
      <c r="H23" s="23">
        <f>8000+510</f>
        <v>8510</v>
      </c>
      <c r="I23" s="39">
        <f>H23-G23</f>
        <v>0.404500000000553</v>
      </c>
    </row>
    <row r="25" ht="15">
      <c r="A25" s="38" t="s">
        <v>79</v>
      </c>
    </row>
    <row r="26" spans="1:9" s="7" customFormat="1" ht="58.5" customHeight="1">
      <c r="A26" s="5" t="s">
        <v>1</v>
      </c>
      <c r="B26" s="5" t="s">
        <v>6</v>
      </c>
      <c r="C26" s="5" t="s">
        <v>32</v>
      </c>
      <c r="D26" s="5" t="s">
        <v>9</v>
      </c>
      <c r="E26" s="5" t="s">
        <v>10</v>
      </c>
      <c r="F26" s="5" t="s">
        <v>7</v>
      </c>
      <c r="G26" s="5" t="s">
        <v>11</v>
      </c>
      <c r="H26" s="5" t="s">
        <v>2</v>
      </c>
      <c r="I26" s="5" t="s">
        <v>3</v>
      </c>
    </row>
    <row r="27" spans="1:9" ht="15">
      <c r="A27" s="36" t="s">
        <v>80</v>
      </c>
      <c r="B27" s="23">
        <v>15.99</v>
      </c>
      <c r="C27" s="23">
        <f>B27*0.1</f>
        <v>1.5990000000000002</v>
      </c>
      <c r="D27" s="23">
        <v>1.99</v>
      </c>
      <c r="E27" s="23">
        <v>3.39</v>
      </c>
      <c r="F27" s="23">
        <f>B27+C27+D27+E27</f>
        <v>22.968999999999998</v>
      </c>
      <c r="G27" s="23">
        <f>(B27+C27+D27)*79.28+E27*86.75</f>
        <v>1846.3056199999999</v>
      </c>
      <c r="H27" s="23">
        <f>1462+384</f>
        <v>1846</v>
      </c>
      <c r="I27" s="39">
        <f>H27-G27</f>
        <v>-0.30561999999986256</v>
      </c>
    </row>
    <row r="29" ht="53.25" customHeight="1">
      <c r="A29" s="13" t="s">
        <v>78</v>
      </c>
    </row>
    <row r="30" ht="15">
      <c r="A30" s="32" t="s">
        <v>47</v>
      </c>
    </row>
    <row r="31" ht="15">
      <c r="A31" s="33" t="s">
        <v>73</v>
      </c>
    </row>
    <row r="32" ht="15">
      <c r="A32" s="32" t="s">
        <v>62</v>
      </c>
    </row>
    <row r="33" ht="15">
      <c r="A33" s="34" t="s">
        <v>74</v>
      </c>
    </row>
    <row r="34" ht="15">
      <c r="A34" s="32" t="s">
        <v>63</v>
      </c>
    </row>
    <row r="35" ht="15">
      <c r="A35" s="35" t="s">
        <v>73</v>
      </c>
    </row>
  </sheetData>
  <sheetProtection/>
  <hyperlinks>
    <hyperlink ref="A31" r:id="rId1" display="http://www.sr-skincare.co.uk/alpha-clear-mandelic-acid--orangewater-clarifying-toner-12-p.asp"/>
    <hyperlink ref="A33" r:id="rId2" display="http://www.sr-skincare.co.uk/alpha-clear-mandelic-acid--orangewater-clarifying-toner-12-p.asp"/>
    <hyperlink ref="A35" r:id="rId3" display="http://www.sr-skincare.co.uk/alpha-clear-mandelic-acid--orangewater-clarifying-toner-12-p.asp"/>
  </hyperlinks>
  <printOptions/>
  <pageMargins left="0.7" right="0.7" top="0.75" bottom="0.75" header="0.3" footer="0.3"/>
  <pageSetup orientation="portrait" paperSize="9"/>
  <legacy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8"/>
  <sheetViews>
    <sheetView zoomScalePageLayoutView="0" workbookViewId="0" topLeftCell="A1">
      <selection activeCell="E28" sqref="E28"/>
    </sheetView>
  </sheetViews>
  <sheetFormatPr defaultColWidth="9.140625" defaultRowHeight="15"/>
  <cols>
    <col min="1" max="1" width="20.28125" style="0" customWidth="1"/>
    <col min="2" max="2" width="17.57421875" style="0" customWidth="1"/>
    <col min="4" max="4" width="16.7109375" style="0" customWidth="1"/>
    <col min="5" max="5" width="21.7109375" style="0" customWidth="1"/>
    <col min="6" max="6" width="10.8515625" style="0" customWidth="1"/>
    <col min="8" max="8" width="11.28125" style="0" customWidth="1"/>
    <col min="9" max="9" width="13.7109375" style="0" customWidth="1"/>
  </cols>
  <sheetData>
    <row r="1" spans="1:9" ht="21">
      <c r="A1" s="1" t="s">
        <v>0</v>
      </c>
      <c r="B1" s="2">
        <v>41711</v>
      </c>
      <c r="C1" s="2"/>
      <c r="D1" s="22"/>
      <c r="E1" s="22" t="s">
        <v>33</v>
      </c>
      <c r="F1" s="3">
        <v>99.61</v>
      </c>
      <c r="G1" s="4" t="s">
        <v>8</v>
      </c>
      <c r="H1" s="4"/>
      <c r="I1" s="4"/>
    </row>
    <row r="2" spans="1:9" ht="21">
      <c r="A2" s="38" t="s">
        <v>76</v>
      </c>
      <c r="B2" s="4"/>
      <c r="C2" s="4"/>
      <c r="D2" s="22"/>
      <c r="E2" s="22" t="s">
        <v>34</v>
      </c>
      <c r="F2" s="3">
        <v>92.24</v>
      </c>
      <c r="G2" s="4" t="s">
        <v>8</v>
      </c>
      <c r="H2" s="4"/>
      <c r="I2" s="4"/>
    </row>
    <row r="3" spans="1:9" ht="60">
      <c r="A3" s="5" t="s">
        <v>1</v>
      </c>
      <c r="B3" s="6" t="s">
        <v>6</v>
      </c>
      <c r="C3" s="6" t="s">
        <v>32</v>
      </c>
      <c r="D3" s="6" t="s">
        <v>9</v>
      </c>
      <c r="E3" s="6" t="s">
        <v>10</v>
      </c>
      <c r="F3" s="5" t="s">
        <v>7</v>
      </c>
      <c r="G3" s="5" t="s">
        <v>11</v>
      </c>
      <c r="H3" s="5" t="s">
        <v>2</v>
      </c>
      <c r="I3" s="5" t="s">
        <v>3</v>
      </c>
    </row>
    <row r="4" spans="1:9" ht="15">
      <c r="A4" s="8" t="s">
        <v>15</v>
      </c>
      <c r="B4" s="14">
        <v>16</v>
      </c>
      <c r="C4" s="14">
        <f>B4*0.1</f>
        <v>1.6</v>
      </c>
      <c r="D4" s="37"/>
      <c r="E4" s="15">
        <f>B4/$B$20*$E$20</f>
        <v>1.4881748923484595</v>
      </c>
      <c r="F4" s="15">
        <f>B4+D4+E4+C4</f>
        <v>19.088174892348462</v>
      </c>
      <c r="G4" s="18">
        <f>(B4+C4+D4)*$F$1+E4*$F$2</f>
        <v>1890.405252070222</v>
      </c>
      <c r="H4" s="9">
        <f>1639+251</f>
        <v>1890</v>
      </c>
      <c r="I4" s="18">
        <f aca="true" t="shared" si="0" ref="I4:I17">H4-G4</f>
        <v>-0.4052520702221045</v>
      </c>
    </row>
    <row r="5" spans="1:9" ht="15">
      <c r="A5" s="8" t="s">
        <v>29</v>
      </c>
      <c r="B5" s="14">
        <v>54.9</v>
      </c>
      <c r="C5" s="14">
        <f aca="true" t="shared" si="1" ref="C5:C17">B5*0.1</f>
        <v>5.49</v>
      </c>
      <c r="D5" s="37"/>
      <c r="E5" s="15">
        <f aca="true" t="shared" si="2" ref="E5:E19">B5/$B$20*$E$20</f>
        <v>5.106300099370651</v>
      </c>
      <c r="F5" s="15">
        <f aca="true" t="shared" si="3" ref="F5:F17">B5+D5+E5+C5</f>
        <v>65.49630009937064</v>
      </c>
      <c r="G5" s="18">
        <f aca="true" t="shared" si="4" ref="G5:G17">(B5+C5+D5)*$F$1+E5*$F$2</f>
        <v>6486.453021165949</v>
      </c>
      <c r="H5" s="9">
        <f>5625+861</f>
        <v>6486</v>
      </c>
      <c r="I5" s="18">
        <f t="shared" si="0"/>
        <v>-0.45302116594939434</v>
      </c>
    </row>
    <row r="6" spans="1:9" ht="15">
      <c r="A6" s="8" t="s">
        <v>83</v>
      </c>
      <c r="B6" s="14">
        <v>18.4</v>
      </c>
      <c r="C6" s="14">
        <f t="shared" si="1"/>
        <v>1.8399999999999999</v>
      </c>
      <c r="D6" s="37"/>
      <c r="E6" s="15">
        <f t="shared" si="2"/>
        <v>1.7114011262007285</v>
      </c>
      <c r="F6" s="15">
        <f t="shared" si="3"/>
        <v>21.951401126200725</v>
      </c>
      <c r="G6" s="18">
        <f t="shared" si="4"/>
        <v>2173.966039880755</v>
      </c>
      <c r="H6" s="9">
        <f>1885+289</f>
        <v>2174</v>
      </c>
      <c r="I6" s="18">
        <f t="shared" si="0"/>
        <v>0.033960119244966336</v>
      </c>
    </row>
    <row r="7" spans="1:9" ht="15">
      <c r="A7" s="8" t="s">
        <v>85</v>
      </c>
      <c r="B7" s="14">
        <v>17.25</v>
      </c>
      <c r="C7" s="14">
        <f t="shared" si="1"/>
        <v>1.725</v>
      </c>
      <c r="D7" s="37"/>
      <c r="E7" s="15">
        <f t="shared" si="2"/>
        <v>1.604438555813183</v>
      </c>
      <c r="F7" s="15">
        <f t="shared" si="3"/>
        <v>20.579438555813184</v>
      </c>
      <c r="G7" s="18">
        <f t="shared" si="4"/>
        <v>2038.0931623882082</v>
      </c>
      <c r="H7" s="41">
        <f>1768+270</f>
        <v>2038</v>
      </c>
      <c r="I7" s="18">
        <f t="shared" si="0"/>
        <v>-0.0931623882081567</v>
      </c>
    </row>
    <row r="8" spans="1:9" ht="15">
      <c r="A8" s="8" t="s">
        <v>86</v>
      </c>
      <c r="B8" s="14">
        <v>26.5</v>
      </c>
      <c r="C8" s="14">
        <f t="shared" si="1"/>
        <v>2.6500000000000004</v>
      </c>
      <c r="D8" s="37"/>
      <c r="E8" s="15">
        <f t="shared" si="2"/>
        <v>2.464789665452136</v>
      </c>
      <c r="F8" s="15">
        <f t="shared" si="3"/>
        <v>31.614789665452136</v>
      </c>
      <c r="G8" s="18">
        <f t="shared" si="4"/>
        <v>3130.983698741305</v>
      </c>
      <c r="H8" s="41">
        <f>2751+380</f>
        <v>3131</v>
      </c>
      <c r="I8" s="18">
        <f t="shared" si="0"/>
        <v>0.016301258694966236</v>
      </c>
    </row>
    <row r="9" spans="1:9" ht="15">
      <c r="A9" s="8" t="s">
        <v>87</v>
      </c>
      <c r="B9" s="14">
        <v>11.2</v>
      </c>
      <c r="C9" s="14">
        <f t="shared" si="1"/>
        <v>1.1199999999999999</v>
      </c>
      <c r="D9" s="37"/>
      <c r="E9" s="15">
        <f t="shared" si="2"/>
        <v>1.0417224246439216</v>
      </c>
      <c r="F9" s="15">
        <f t="shared" si="3"/>
        <v>13.36172242464392</v>
      </c>
      <c r="G9" s="18">
        <f t="shared" si="4"/>
        <v>1323.283676449155</v>
      </c>
      <c r="H9" s="9">
        <f>1148+175</f>
        <v>1323</v>
      </c>
      <c r="I9" s="18">
        <f t="shared" si="0"/>
        <v>-0.28367644915510937</v>
      </c>
    </row>
    <row r="10" spans="1:9" ht="15">
      <c r="A10" s="8" t="s">
        <v>88</v>
      </c>
      <c r="B10" s="14">
        <v>40.9</v>
      </c>
      <c r="C10" s="14">
        <f t="shared" si="1"/>
        <v>4.09</v>
      </c>
      <c r="D10" s="37"/>
      <c r="E10" s="15">
        <f t="shared" si="2"/>
        <v>3.80414706856575</v>
      </c>
      <c r="F10" s="15">
        <f t="shared" si="3"/>
        <v>48.79414706856575</v>
      </c>
      <c r="G10" s="18">
        <f t="shared" si="4"/>
        <v>4832.348425604504</v>
      </c>
      <c r="H10" s="9">
        <f>4191+641</f>
        <v>4832</v>
      </c>
      <c r="I10" s="18">
        <f t="shared" si="0"/>
        <v>-0.34842560450397286</v>
      </c>
    </row>
    <row r="11" spans="1:9" ht="15">
      <c r="A11" s="8" t="s">
        <v>89</v>
      </c>
      <c r="B11" s="14">
        <v>4.5</v>
      </c>
      <c r="C11" s="14">
        <f t="shared" si="1"/>
        <v>0.45</v>
      </c>
      <c r="D11" s="37"/>
      <c r="E11" s="15">
        <f t="shared" si="2"/>
        <v>0.41854918847300426</v>
      </c>
      <c r="F11" s="15">
        <f t="shared" si="3"/>
        <v>5.368549188473004</v>
      </c>
      <c r="G11" s="18">
        <f t="shared" si="4"/>
        <v>531.6764771447499</v>
      </c>
      <c r="H11" s="9">
        <f>461+71</f>
        <v>532</v>
      </c>
      <c r="I11" s="18">
        <f t="shared" si="0"/>
        <v>0.32352285525007574</v>
      </c>
    </row>
    <row r="12" spans="1:9" ht="15">
      <c r="A12" s="8" t="s">
        <v>90</v>
      </c>
      <c r="B12" s="14">
        <v>5.6</v>
      </c>
      <c r="C12" s="14">
        <f t="shared" si="1"/>
        <v>0.5599999999999999</v>
      </c>
      <c r="D12" s="37"/>
      <c r="E12" s="15">
        <f t="shared" si="2"/>
        <v>0.5208612123219608</v>
      </c>
      <c r="F12" s="15">
        <f t="shared" si="3"/>
        <v>6.68086121232196</v>
      </c>
      <c r="G12" s="18">
        <f t="shared" si="4"/>
        <v>661.6418382245776</v>
      </c>
      <c r="H12" s="9">
        <f>580+82</f>
        <v>662</v>
      </c>
      <c r="I12" s="18">
        <f t="shared" si="0"/>
        <v>0.3581617754224453</v>
      </c>
    </row>
    <row r="13" spans="1:9" ht="15">
      <c r="A13" s="8" t="s">
        <v>91</v>
      </c>
      <c r="B13" s="14">
        <v>7.4</v>
      </c>
      <c r="C13" s="14">
        <f t="shared" si="1"/>
        <v>0.7400000000000001</v>
      </c>
      <c r="D13" s="37"/>
      <c r="E13" s="15">
        <f t="shared" si="2"/>
        <v>0.6882808877111626</v>
      </c>
      <c r="F13" s="15">
        <f t="shared" si="3"/>
        <v>8.828280887711163</v>
      </c>
      <c r="G13" s="18">
        <f t="shared" si="4"/>
        <v>874.3124290824777</v>
      </c>
      <c r="H13" s="9">
        <f>758+116</f>
        <v>874</v>
      </c>
      <c r="I13" s="18">
        <f t="shared" si="0"/>
        <v>-0.3124290824777063</v>
      </c>
    </row>
    <row r="14" spans="1:9" ht="15">
      <c r="A14" s="8" t="s">
        <v>63</v>
      </c>
      <c r="B14" s="14">
        <v>19.5</v>
      </c>
      <c r="C14" s="14">
        <f t="shared" si="1"/>
        <v>1.9500000000000002</v>
      </c>
      <c r="D14" s="37"/>
      <c r="E14" s="15">
        <f t="shared" si="2"/>
        <v>1.813713150049685</v>
      </c>
      <c r="F14" s="15">
        <f t="shared" si="3"/>
        <v>23.263713150049686</v>
      </c>
      <c r="G14" s="18">
        <f t="shared" si="4"/>
        <v>2303.9314009605832</v>
      </c>
      <c r="H14" s="9">
        <f>2000+304</f>
        <v>2304</v>
      </c>
      <c r="I14" s="18">
        <f t="shared" si="0"/>
        <v>0.06859903941676748</v>
      </c>
    </row>
    <row r="15" spans="1:9" ht="15">
      <c r="A15" s="8" t="s">
        <v>92</v>
      </c>
      <c r="B15" s="14">
        <v>8.8</v>
      </c>
      <c r="C15" s="14">
        <f t="shared" si="1"/>
        <v>0.8800000000000001</v>
      </c>
      <c r="D15" s="37"/>
      <c r="E15" s="15">
        <f t="shared" si="2"/>
        <v>0.8184961907916528</v>
      </c>
      <c r="F15" s="15">
        <f t="shared" si="3"/>
        <v>10.498496190791654</v>
      </c>
      <c r="G15" s="18">
        <f t="shared" si="4"/>
        <v>1039.7228886386222</v>
      </c>
      <c r="H15" s="9">
        <f>902+138</f>
        <v>1040</v>
      </c>
      <c r="I15" s="18">
        <f t="shared" si="0"/>
        <v>0.2771113613778198</v>
      </c>
    </row>
    <row r="16" spans="1:9" ht="15">
      <c r="A16" s="8" t="s">
        <v>21</v>
      </c>
      <c r="B16" s="14">
        <v>4.5</v>
      </c>
      <c r="C16" s="14">
        <f t="shared" si="1"/>
        <v>0.45</v>
      </c>
      <c r="D16" s="37"/>
      <c r="E16" s="15">
        <f t="shared" si="2"/>
        <v>0.41854918847300426</v>
      </c>
      <c r="F16" s="15">
        <f t="shared" si="3"/>
        <v>5.368549188473004</v>
      </c>
      <c r="G16" s="18">
        <f t="shared" si="4"/>
        <v>531.6764771447499</v>
      </c>
      <c r="H16" s="9">
        <f>461+71</f>
        <v>532</v>
      </c>
      <c r="I16" s="18">
        <f t="shared" si="0"/>
        <v>0.32352285525007574</v>
      </c>
    </row>
    <row r="17" spans="1:10" ht="15">
      <c r="A17" s="8" t="s">
        <v>93</v>
      </c>
      <c r="B17" s="14">
        <f>23.85-3.75</f>
        <v>20.1</v>
      </c>
      <c r="C17" s="14">
        <f t="shared" si="1"/>
        <v>2.0100000000000002</v>
      </c>
      <c r="D17" s="37"/>
      <c r="E17" s="15">
        <f t="shared" si="2"/>
        <v>1.8695197085127524</v>
      </c>
      <c r="F17" s="15">
        <f t="shared" si="3"/>
        <v>23.979519708512754</v>
      </c>
      <c r="G17" s="18">
        <f t="shared" si="4"/>
        <v>2374.8215979132165</v>
      </c>
      <c r="H17" s="9">
        <f>2444-69</f>
        <v>2375</v>
      </c>
      <c r="I17" s="18">
        <f t="shared" si="0"/>
        <v>0.1784020867835352</v>
      </c>
      <c r="J17" t="s">
        <v>95</v>
      </c>
    </row>
    <row r="18" spans="1:9" ht="15">
      <c r="A18" s="8" t="s">
        <v>94</v>
      </c>
      <c r="B18" s="14">
        <v>14.5</v>
      </c>
      <c r="C18" s="14">
        <f>B18*0.1</f>
        <v>1.4500000000000002</v>
      </c>
      <c r="D18" s="37"/>
      <c r="E18" s="15">
        <f t="shared" si="2"/>
        <v>1.3486584961907915</v>
      </c>
      <c r="F18" s="15">
        <f>B18+D18+E18+C18</f>
        <v>17.298658496190793</v>
      </c>
      <c r="G18" s="18">
        <f>(B18+C18+D18)*$F$1+E18*$F$2</f>
        <v>1713.1797596886386</v>
      </c>
      <c r="H18" s="9">
        <f>1486+227</f>
        <v>1713</v>
      </c>
      <c r="I18" s="18">
        <f>H18-G18</f>
        <v>-0.17975968863856906</v>
      </c>
    </row>
    <row r="19" spans="1:9" ht="15">
      <c r="A19" s="10" t="s">
        <v>4</v>
      </c>
      <c r="B19" s="14">
        <f>28.1+3.75</f>
        <v>31.85</v>
      </c>
      <c r="C19" s="14"/>
      <c r="D19" s="37"/>
      <c r="E19" s="15">
        <f t="shared" si="2"/>
        <v>2.9623981450811523</v>
      </c>
      <c r="F19" s="25"/>
      <c r="G19" s="11"/>
      <c r="H19" s="11"/>
      <c r="I19" s="11"/>
    </row>
    <row r="20" spans="1:9" ht="15">
      <c r="A20" s="12"/>
      <c r="B20" s="17">
        <f>SUM(B4:B19)</f>
        <v>301.90000000000003</v>
      </c>
      <c r="C20" s="17"/>
      <c r="D20" s="17">
        <v>0</v>
      </c>
      <c r="E20" s="19">
        <v>28.08</v>
      </c>
      <c r="F20" s="25"/>
      <c r="G20" s="31"/>
      <c r="H20" s="11"/>
      <c r="I20" s="11"/>
    </row>
    <row r="21" ht="32.25" customHeight="1">
      <c r="A21" s="38" t="s">
        <v>81</v>
      </c>
    </row>
    <row r="22" spans="1:9" ht="60">
      <c r="A22" s="5" t="s">
        <v>1</v>
      </c>
      <c r="B22" s="5" t="s">
        <v>6</v>
      </c>
      <c r="C22" s="5" t="s">
        <v>32</v>
      </c>
      <c r="D22" s="5" t="s">
        <v>9</v>
      </c>
      <c r="E22" s="5" t="s">
        <v>10</v>
      </c>
      <c r="F22" s="5" t="s">
        <v>7</v>
      </c>
      <c r="G22" s="5" t="s">
        <v>11</v>
      </c>
      <c r="H22" s="5" t="s">
        <v>2</v>
      </c>
      <c r="I22" s="5" t="s">
        <v>3</v>
      </c>
    </row>
    <row r="23" spans="1:9" ht="15">
      <c r="A23" s="36" t="s">
        <v>82</v>
      </c>
      <c r="B23" s="23">
        <v>18.95</v>
      </c>
      <c r="C23" s="23">
        <f>B23*0.1</f>
        <v>1.895</v>
      </c>
      <c r="D23" s="23"/>
      <c r="E23" s="23">
        <v>0.766</v>
      </c>
      <c r="F23" s="23">
        <f>B23+C23+D23+E23</f>
        <v>21.610999999999997</v>
      </c>
      <c r="G23" s="23">
        <f>(B23+C23)*102.21+E23*$F$2</f>
        <v>2201.2232899999995</v>
      </c>
      <c r="H23" s="23">
        <f>2065+136</f>
        <v>2201</v>
      </c>
      <c r="I23" s="39">
        <f>H23-G23</f>
        <v>-0.22328999999945154</v>
      </c>
    </row>
    <row r="24" spans="1:9" ht="15">
      <c r="A24" s="36" t="s">
        <v>83</v>
      </c>
      <c r="B24" s="23">
        <v>18.95</v>
      </c>
      <c r="C24" s="23">
        <f>B24*0.1</f>
        <v>1.895</v>
      </c>
      <c r="D24" s="23"/>
      <c r="E24" s="23">
        <v>0.766</v>
      </c>
      <c r="F24" s="23">
        <f>B24+C24+D24+E24</f>
        <v>21.610999999999997</v>
      </c>
      <c r="G24" s="23">
        <f>(B24+C24)*102.21+E24*$F$2</f>
        <v>2201.2232899999995</v>
      </c>
      <c r="H24" s="23">
        <f>2065+136</f>
        <v>2201</v>
      </c>
      <c r="I24" s="39">
        <f>H24-G24</f>
        <v>-0.22328999999945154</v>
      </c>
    </row>
    <row r="25" spans="1:9" ht="15">
      <c r="A25" s="36" t="s">
        <v>75</v>
      </c>
      <c r="B25" s="23">
        <v>10.5</v>
      </c>
      <c r="C25" s="23">
        <f>B25*0.1</f>
        <v>1.05</v>
      </c>
      <c r="D25" s="23"/>
      <c r="E25" s="23">
        <v>2.107</v>
      </c>
      <c r="F25" s="23">
        <f>B25+C25+D25+E25</f>
        <v>13.657</v>
      </c>
      <c r="G25" s="23">
        <f>(B25+C25)*102.21+E25*$F$2</f>
        <v>1374.87518</v>
      </c>
      <c r="H25" s="23">
        <f>1145+42+188</f>
        <v>1375</v>
      </c>
      <c r="I25" s="39">
        <f>H25-G25</f>
        <v>0.12481999999999971</v>
      </c>
    </row>
    <row r="26" spans="1:9" ht="15">
      <c r="A26" s="36" t="s">
        <v>84</v>
      </c>
      <c r="B26" s="23">
        <v>84.55</v>
      </c>
      <c r="C26" s="23">
        <f>B26*0.1</f>
        <v>8.455</v>
      </c>
      <c r="D26" s="23"/>
      <c r="E26" s="23">
        <v>4.117</v>
      </c>
      <c r="F26" s="23">
        <f>B26+C26+D26+E26</f>
        <v>97.122</v>
      </c>
      <c r="G26" s="23">
        <f>(B26+C26)*102.21+E26*$F$2</f>
        <v>9885.79313</v>
      </c>
      <c r="H26" s="23">
        <f>9305+581</f>
        <v>9886</v>
      </c>
      <c r="I26" s="39">
        <f>H26-G26</f>
        <v>0.2068699999999808</v>
      </c>
    </row>
    <row r="28" ht="26.25">
      <c r="A28" s="40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80" zoomScaleNormal="80" zoomScalePageLayoutView="0" workbookViewId="0" topLeftCell="A1">
      <selection activeCell="E21" sqref="E21"/>
    </sheetView>
  </sheetViews>
  <sheetFormatPr defaultColWidth="9.140625" defaultRowHeight="15"/>
  <cols>
    <col min="1" max="1" width="19.421875" style="0" customWidth="1"/>
    <col min="2" max="2" width="17.00390625" style="0" customWidth="1"/>
    <col min="4" max="4" width="15.28125" style="0" customWidth="1"/>
    <col min="5" max="5" width="20.421875" style="0" customWidth="1"/>
    <col min="6" max="6" width="12.8515625" style="0" customWidth="1"/>
    <col min="7" max="7" width="10.7109375" style="0" customWidth="1"/>
    <col min="8" max="8" width="12.8515625" style="0" customWidth="1"/>
    <col min="9" max="9" width="13.421875" style="0" customWidth="1"/>
  </cols>
  <sheetData>
    <row r="1" spans="1:9" ht="21">
      <c r="A1" s="1" t="s">
        <v>0</v>
      </c>
      <c r="B1" s="2">
        <v>41892</v>
      </c>
      <c r="C1" s="2"/>
      <c r="D1" s="22"/>
      <c r="E1" s="22" t="s">
        <v>33</v>
      </c>
      <c r="F1" s="3">
        <v>108.17</v>
      </c>
      <c r="G1" s="4" t="s">
        <v>8</v>
      </c>
      <c r="H1" s="4"/>
      <c r="I1" s="4"/>
    </row>
    <row r="2" spans="1:9" ht="21">
      <c r="A2" s="38" t="s">
        <v>76</v>
      </c>
      <c r="B2" s="4"/>
      <c r="C2" s="4"/>
      <c r="D2" s="22"/>
      <c r="E2" s="22" t="s">
        <v>34</v>
      </c>
      <c r="F2" s="3">
        <v>105.37</v>
      </c>
      <c r="G2" s="4" t="s">
        <v>8</v>
      </c>
      <c r="H2" s="4"/>
      <c r="I2" s="4"/>
    </row>
    <row r="3" spans="1:9" ht="60">
      <c r="A3" s="5" t="s">
        <v>1</v>
      </c>
      <c r="B3" s="6" t="s">
        <v>6</v>
      </c>
      <c r="C3" s="6" t="s">
        <v>32</v>
      </c>
      <c r="D3" s="6" t="s">
        <v>9</v>
      </c>
      <c r="E3" s="6" t="s">
        <v>10</v>
      </c>
      <c r="F3" s="5" t="s">
        <v>7</v>
      </c>
      <c r="G3" s="5" t="s">
        <v>11</v>
      </c>
      <c r="H3" s="5" t="s">
        <v>2</v>
      </c>
      <c r="I3" s="5" t="s">
        <v>3</v>
      </c>
    </row>
    <row r="4" spans="1:9" ht="15">
      <c r="A4" s="8" t="s">
        <v>58</v>
      </c>
      <c r="B4" s="14">
        <v>8.4</v>
      </c>
      <c r="C4" s="14">
        <f>B4*0.1</f>
        <v>0.8400000000000001</v>
      </c>
      <c r="D4" s="37">
        <f>B4/$B$19*$D$19</f>
        <v>0.16989002654531668</v>
      </c>
      <c r="E4" s="15">
        <f>B4/$B$19*$E$19</f>
        <v>0.7211831626848694</v>
      </c>
      <c r="F4" s="15">
        <f>B4+D4+E4+C4</f>
        <v>10.131073189230186</v>
      </c>
      <c r="G4" s="18">
        <f>(B4+C4+D4)*$F$1+E4*$F$2</f>
        <v>1093.8588740235116</v>
      </c>
      <c r="H4" s="9"/>
      <c r="I4" s="18">
        <f aca="true" t="shared" si="0" ref="I4:I17">H4-G4</f>
        <v>-1093.8588740235116</v>
      </c>
    </row>
    <row r="5" spans="1:9" ht="15">
      <c r="A5" s="8" t="s">
        <v>28</v>
      </c>
      <c r="B5" s="14">
        <v>16.45</v>
      </c>
      <c r="C5" s="14">
        <f aca="true" t="shared" si="1" ref="C5:C17">B5*0.1</f>
        <v>1.645</v>
      </c>
      <c r="D5" s="37">
        <f aca="true" t="shared" si="2" ref="D5:D18">B5/$B$19*$D$19</f>
        <v>0.3327013019845785</v>
      </c>
      <c r="E5" s="15">
        <f aca="true" t="shared" si="3" ref="E5:E18">B5/$B$19*$E$19</f>
        <v>1.4123170269245358</v>
      </c>
      <c r="F5" s="15">
        <f aca="true" t="shared" si="4" ref="F5:F16">B5+D5+E5+C5</f>
        <v>19.840018328909114</v>
      </c>
      <c r="G5" s="18">
        <f aca="true" t="shared" si="5" ref="G5:G17">(B5+C5+D5)*$F$1+E5*$F$2</f>
        <v>2142.14029496271</v>
      </c>
      <c r="H5" s="9">
        <v>1956</v>
      </c>
      <c r="I5" s="18">
        <f t="shared" si="0"/>
        <v>-186.14029496270996</v>
      </c>
    </row>
    <row r="6" spans="1:9" ht="15">
      <c r="A6" s="8" t="s">
        <v>96</v>
      </c>
      <c r="B6" s="14">
        <v>7.65</v>
      </c>
      <c r="C6" s="14">
        <f t="shared" si="1"/>
        <v>0.7650000000000001</v>
      </c>
      <c r="D6" s="37">
        <f t="shared" si="2"/>
        <v>0.15472127417519912</v>
      </c>
      <c r="E6" s="15">
        <f t="shared" si="3"/>
        <v>0.6567918088737204</v>
      </c>
      <c r="F6" s="15">
        <f t="shared" si="4"/>
        <v>9.226513083048921</v>
      </c>
      <c r="G6" s="18">
        <f t="shared" si="5"/>
        <v>996.1929031285551</v>
      </c>
      <c r="H6" s="9">
        <v>910</v>
      </c>
      <c r="I6" s="18">
        <f t="shared" si="0"/>
        <v>-86.19290312855514</v>
      </c>
    </row>
    <row r="7" spans="1:9" ht="15">
      <c r="A7" s="8" t="s">
        <v>97</v>
      </c>
      <c r="B7" s="14">
        <v>14.7</v>
      </c>
      <c r="C7" s="14">
        <f t="shared" si="1"/>
        <v>1.47</v>
      </c>
      <c r="D7" s="37">
        <f t="shared" si="2"/>
        <v>0.29730754645430413</v>
      </c>
      <c r="E7" s="15">
        <f t="shared" si="3"/>
        <v>1.262070534698521</v>
      </c>
      <c r="F7" s="15">
        <f t="shared" si="4"/>
        <v>17.729378081152824</v>
      </c>
      <c r="G7" s="18">
        <f t="shared" si="5"/>
        <v>1914.2530295411452</v>
      </c>
      <c r="H7" s="41">
        <v>1748</v>
      </c>
      <c r="I7" s="18">
        <f t="shared" si="0"/>
        <v>-166.25302954114522</v>
      </c>
    </row>
    <row r="8" spans="1:9" ht="15">
      <c r="A8" s="8" t="s">
        <v>98</v>
      </c>
      <c r="B8" s="14">
        <v>15.8</v>
      </c>
      <c r="C8" s="14">
        <f t="shared" si="1"/>
        <v>1.58</v>
      </c>
      <c r="D8" s="37">
        <f t="shared" si="2"/>
        <v>0.3195550499304766</v>
      </c>
      <c r="E8" s="15">
        <f t="shared" si="3"/>
        <v>1.3565111869548734</v>
      </c>
      <c r="F8" s="15">
        <f t="shared" si="4"/>
        <v>19.05606623688535</v>
      </c>
      <c r="G8" s="18">
        <f t="shared" si="5"/>
        <v>2057.496453520415</v>
      </c>
      <c r="H8" s="41">
        <v>1879</v>
      </c>
      <c r="I8" s="18">
        <f t="shared" si="0"/>
        <v>-178.4964535204149</v>
      </c>
    </row>
    <row r="9" spans="1:9" ht="15">
      <c r="A9" s="8" t="s">
        <v>99</v>
      </c>
      <c r="B9" s="14">
        <v>8.85</v>
      </c>
      <c r="C9" s="14">
        <f t="shared" si="1"/>
        <v>0.885</v>
      </c>
      <c r="D9" s="37">
        <f t="shared" si="2"/>
        <v>0.1789912779673872</v>
      </c>
      <c r="E9" s="15">
        <f t="shared" si="3"/>
        <v>0.7598179749715587</v>
      </c>
      <c r="F9" s="15">
        <f t="shared" si="4"/>
        <v>10.673809252938947</v>
      </c>
      <c r="G9" s="18">
        <f t="shared" si="5"/>
        <v>1152.4584565604855</v>
      </c>
      <c r="H9" s="9">
        <v>1053</v>
      </c>
      <c r="I9" s="18">
        <f t="shared" si="0"/>
        <v>-99.4584565604855</v>
      </c>
    </row>
    <row r="10" spans="1:9" ht="15">
      <c r="A10" s="8" t="s">
        <v>41</v>
      </c>
      <c r="B10" s="14">
        <v>9.85</v>
      </c>
      <c r="C10" s="14">
        <f t="shared" si="1"/>
        <v>0.985</v>
      </c>
      <c r="D10" s="37">
        <f t="shared" si="2"/>
        <v>0.19921628112754394</v>
      </c>
      <c r="E10" s="15">
        <f t="shared" si="3"/>
        <v>0.845673113386424</v>
      </c>
      <c r="F10" s="15">
        <f t="shared" si="4"/>
        <v>11.879889394513967</v>
      </c>
      <c r="G10" s="18">
        <f t="shared" si="5"/>
        <v>1282.679751087094</v>
      </c>
      <c r="H10" s="9">
        <v>1172</v>
      </c>
      <c r="I10" s="18">
        <f t="shared" si="0"/>
        <v>-110.67975108709402</v>
      </c>
    </row>
    <row r="11" spans="1:9" ht="15">
      <c r="A11" s="8" t="s">
        <v>100</v>
      </c>
      <c r="B11" s="14">
        <v>46.65</v>
      </c>
      <c r="C11" s="14">
        <f t="shared" si="1"/>
        <v>4.665</v>
      </c>
      <c r="D11" s="37">
        <f t="shared" si="2"/>
        <v>0.9434963974213122</v>
      </c>
      <c r="E11" s="15">
        <f t="shared" si="3"/>
        <v>4.005142207053471</v>
      </c>
      <c r="F11" s="15">
        <f t="shared" si="4"/>
        <v>56.263638604474785</v>
      </c>
      <c r="G11" s="18">
        <f t="shared" si="5"/>
        <v>6074.823389666288</v>
      </c>
      <c r="H11" s="9">
        <v>5548</v>
      </c>
      <c r="I11" s="18">
        <f t="shared" si="0"/>
        <v>-526.8233896662878</v>
      </c>
    </row>
    <row r="12" spans="1:9" ht="15">
      <c r="A12" s="8" t="s">
        <v>62</v>
      </c>
      <c r="B12" s="14">
        <v>24.15</v>
      </c>
      <c r="C12" s="14">
        <f t="shared" si="1"/>
        <v>2.415</v>
      </c>
      <c r="D12" s="37">
        <f t="shared" si="2"/>
        <v>0.48843382631778537</v>
      </c>
      <c r="E12" s="15">
        <f t="shared" si="3"/>
        <v>2.073401592718999</v>
      </c>
      <c r="F12" s="15">
        <f t="shared" si="4"/>
        <v>29.12683541903678</v>
      </c>
      <c r="G12" s="18">
        <f t="shared" si="5"/>
        <v>3144.8442628175953</v>
      </c>
      <c r="H12" s="9">
        <v>2872</v>
      </c>
      <c r="I12" s="18">
        <f t="shared" si="0"/>
        <v>-272.84426281759534</v>
      </c>
    </row>
    <row r="13" spans="1:9" ht="15">
      <c r="A13" s="8" t="s">
        <v>101</v>
      </c>
      <c r="B13" s="14">
        <v>19.8</v>
      </c>
      <c r="C13" s="14">
        <f t="shared" si="1"/>
        <v>1.9800000000000002</v>
      </c>
      <c r="D13" s="37">
        <f t="shared" si="2"/>
        <v>0.4004550625711036</v>
      </c>
      <c r="E13" s="15">
        <f t="shared" si="3"/>
        <v>1.6999317406143348</v>
      </c>
      <c r="F13" s="15">
        <f t="shared" si="4"/>
        <v>23.88038680318544</v>
      </c>
      <c r="G13" s="18">
        <f t="shared" si="5"/>
        <v>2578.381631626849</v>
      </c>
      <c r="H13" s="9">
        <v>2355</v>
      </c>
      <c r="I13" s="18">
        <f t="shared" si="0"/>
        <v>-223.38163162684896</v>
      </c>
    </row>
    <row r="14" spans="1:9" ht="15">
      <c r="A14" s="8" t="s">
        <v>63</v>
      </c>
      <c r="B14" s="14">
        <v>36.2</v>
      </c>
      <c r="C14" s="14">
        <f t="shared" si="1"/>
        <v>3.6200000000000006</v>
      </c>
      <c r="D14" s="37">
        <f t="shared" si="2"/>
        <v>0.7321451143976743</v>
      </c>
      <c r="E14" s="15">
        <f t="shared" si="3"/>
        <v>3.1079560106181274</v>
      </c>
      <c r="F14" s="15">
        <f t="shared" si="4"/>
        <v>43.6601011250158</v>
      </c>
      <c r="G14" s="18">
        <f t="shared" si="5"/>
        <v>4714.0108618632285</v>
      </c>
      <c r="H14" s="9">
        <v>4306</v>
      </c>
      <c r="I14" s="18">
        <f t="shared" si="0"/>
        <v>-408.01086186322846</v>
      </c>
    </row>
    <row r="15" spans="1:9" ht="15">
      <c r="A15" s="8" t="s">
        <v>5</v>
      </c>
      <c r="B15" s="14">
        <v>6.7</v>
      </c>
      <c r="C15" s="14">
        <f t="shared" si="1"/>
        <v>0.67</v>
      </c>
      <c r="D15" s="37">
        <f t="shared" si="2"/>
        <v>0.1355075211730502</v>
      </c>
      <c r="E15" s="15">
        <f t="shared" si="3"/>
        <v>0.5752294273795981</v>
      </c>
      <c r="F15" s="15">
        <f t="shared" si="4"/>
        <v>8.080736948552648</v>
      </c>
      <c r="G15" s="18">
        <f t="shared" si="5"/>
        <v>872.4826733282771</v>
      </c>
      <c r="H15" s="9">
        <v>797</v>
      </c>
      <c r="I15" s="18">
        <f t="shared" si="0"/>
        <v>-75.48267332827709</v>
      </c>
    </row>
    <row r="16" spans="1:9" ht="15">
      <c r="A16" s="8" t="s">
        <v>102</v>
      </c>
      <c r="B16" s="14">
        <v>7.15</v>
      </c>
      <c r="C16" s="14">
        <f t="shared" si="1"/>
        <v>0.7150000000000001</v>
      </c>
      <c r="D16" s="37">
        <f t="shared" si="2"/>
        <v>0.14460877259512075</v>
      </c>
      <c r="E16" s="15">
        <f t="shared" si="3"/>
        <v>0.6138642396662877</v>
      </c>
      <c r="F16" s="15">
        <f t="shared" si="4"/>
        <v>8.623473012261408</v>
      </c>
      <c r="G16" s="18">
        <f t="shared" si="5"/>
        <v>931.0822558652509</v>
      </c>
      <c r="H16" s="9">
        <v>850</v>
      </c>
      <c r="I16" s="18">
        <f t="shared" si="0"/>
        <v>-81.08225586525089</v>
      </c>
    </row>
    <row r="17" spans="1:9" ht="15">
      <c r="A17" s="8" t="s">
        <v>18</v>
      </c>
      <c r="B17" s="14">
        <v>8.25</v>
      </c>
      <c r="C17" s="14">
        <f t="shared" si="1"/>
        <v>0.8250000000000001</v>
      </c>
      <c r="D17" s="37">
        <f t="shared" si="2"/>
        <v>0.16685627607129316</v>
      </c>
      <c r="E17" s="15">
        <f t="shared" si="3"/>
        <v>0.7083048919226395</v>
      </c>
      <c r="F17" s="15">
        <f>B17+D17+E17+C17</f>
        <v>9.950161167993931</v>
      </c>
      <c r="G17" s="18">
        <f t="shared" si="5"/>
        <v>1074.3256798445202</v>
      </c>
      <c r="H17" s="9">
        <v>981</v>
      </c>
      <c r="I17" s="18">
        <f t="shared" si="0"/>
        <v>-93.32567984452021</v>
      </c>
    </row>
    <row r="18" spans="1:9" ht="15">
      <c r="A18" s="10" t="s">
        <v>4</v>
      </c>
      <c r="B18" s="14">
        <v>164.95</v>
      </c>
      <c r="C18" s="14"/>
      <c r="D18" s="37">
        <f t="shared" si="2"/>
        <v>3.336114271267855</v>
      </c>
      <c r="E18" s="15">
        <f t="shared" si="3"/>
        <v>14.161805081532044</v>
      </c>
      <c r="F18" s="25"/>
      <c r="G18" s="11"/>
      <c r="H18" s="11"/>
      <c r="I18" s="11"/>
    </row>
    <row r="19" spans="1:9" ht="15">
      <c r="A19" s="12"/>
      <c r="B19" s="17">
        <f>SUM(B4:B18)</f>
        <v>395.54999999999995</v>
      </c>
      <c r="C19" s="17"/>
      <c r="D19" s="17">
        <v>8</v>
      </c>
      <c r="E19" s="19">
        <v>33.96</v>
      </c>
      <c r="F19" s="25"/>
      <c r="G19" s="31"/>
      <c r="H19" s="11"/>
      <c r="I19" s="11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20"/>
  <sheetViews>
    <sheetView zoomScalePageLayoutView="0" workbookViewId="0" topLeftCell="A1">
      <selection activeCell="A19" sqref="A19:A20"/>
    </sheetView>
  </sheetViews>
  <sheetFormatPr defaultColWidth="9.140625" defaultRowHeight="15"/>
  <sheetData>
    <row r="19" ht="15">
      <c r="A19" t="s">
        <v>103</v>
      </c>
    </row>
    <row r="20" ht="15">
      <c r="A20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Эркес Лиана Александровна</dc:creator>
  <cp:keywords/>
  <dc:description/>
  <cp:lastModifiedBy>Alex</cp:lastModifiedBy>
  <dcterms:created xsi:type="dcterms:W3CDTF">2013-08-13T01:57:41Z</dcterms:created>
  <dcterms:modified xsi:type="dcterms:W3CDTF">2015-10-13T10:56:07Z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