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150" windowWidth="16005" windowHeight="8085" firstSheet="3" activeTab="1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<sst xmlns="http://schemas.openxmlformats.org/spreadsheetml/2006/main" count="319" uniqueCount="128">
  <si>
    <t>ДАТА:</t>
  </si>
  <si>
    <t>Курс</t>
  </si>
  <si>
    <t>руб/евро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</si>
  <si>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</si>
  <si>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</si>
  <si>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</si>
  <si>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</si>
  <si>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</si>
  <si>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</si>
  <si>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</si>
  <si>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я</t>
  </si>
  <si>
    <t>курс будет уточнен после списания банком</t>
  </si>
  <si>
    <t>фантазия1</t>
  </si>
  <si>
    <t>Медведица</t>
  </si>
  <si>
    <t>zannoza</t>
  </si>
  <si>
    <t>parus</t>
  </si>
  <si>
    <t>Ir_86</t>
  </si>
  <si>
    <t>LaPetite</t>
  </si>
  <si>
    <t>EnotOxx</t>
  </si>
  <si>
    <t>Зенина Юлия</t>
  </si>
  <si>
    <t>julary</t>
  </si>
  <si>
    <t>карабель</t>
  </si>
  <si>
    <t>НастЯЯЯ</t>
  </si>
  <si>
    <t>YLIA81</t>
  </si>
  <si>
    <t>Юляskа</t>
  </si>
  <si>
    <t>LilGlavbuh</t>
  </si>
  <si>
    <t>olishna72</t>
  </si>
  <si>
    <t>532 р. отдала на карту 30.08</t>
  </si>
  <si>
    <t>сняла в счет оплаты наличия 10.09.13</t>
  </si>
  <si>
    <t>сняла с депозита: 2р. - кокон, 1 р. - фармашоп, 203 - iherb 114</t>
  </si>
  <si>
    <t>1076 перенесла на фармашоп 2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</si>
  <si>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</si>
  <si>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</si>
  <si>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</si>
  <si>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</si>
  <si>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выкуплен 08.10</t>
  </si>
  <si>
    <t>with_a_box</t>
  </si>
  <si>
    <t>Lena_vs</t>
  </si>
  <si>
    <t>Ольга_тм</t>
  </si>
  <si>
    <t>marty2002</t>
  </si>
  <si>
    <t>Lyuda_Lyuda</t>
  </si>
  <si>
    <t>Валерка</t>
  </si>
  <si>
    <t>1, 2</t>
  </si>
  <si>
    <t>выкуплен 11.11</t>
  </si>
  <si>
    <t>nadia82</t>
  </si>
  <si>
    <t>Лёлечка83</t>
  </si>
  <si>
    <t>Ольга_96</t>
  </si>
  <si>
    <t>Savanna</t>
  </si>
  <si>
    <t>Romanechka</t>
  </si>
  <si>
    <t>http://www.purepara.com/fr/deodorants-hommes/1625-lierac-homme-deodorant-roll-on-24h-50ml-3508240212704.html - 5 шт.</t>
  </si>
  <si>
    <t>http://www.purepara.com/fr/nettoyants-visage/3081-sanoflore-mousse-d-eau-nettoyante-150ml-3337873400901.html - 1 шт.</t>
  </si>
  <si>
    <t xml:space="preserve">http://www.purepara.com/fr/bebe-et-maman/795-huile-de-massage-vergetures-weleda-100ml-3596204520002.html </t>
  </si>
  <si>
    <t>An@stasia</t>
  </si>
  <si>
    <t>http://www.purepara.com/en/beaute-et-soins/864-avene-hydrance-optimale-legere-creme-40ml-3282779206303.html</t>
  </si>
  <si>
    <t>Не было:</t>
  </si>
  <si>
    <t>Оплата до   15/11   включительно</t>
  </si>
  <si>
    <t>1, 3</t>
  </si>
  <si>
    <t>2, 3</t>
  </si>
  <si>
    <t>перенесено с фармашоп 3</t>
  </si>
  <si>
    <t>выкуплен 16.11</t>
  </si>
  <si>
    <t>Брусnika</t>
  </si>
  <si>
    <t>олёк</t>
  </si>
  <si>
    <t>2, 4</t>
  </si>
  <si>
    <t>http://www.purepara.com/en/nettoyants-visage/3081-sanoflore-mousse-d-eau-nettoyante-150ml-3337873400901.html </t>
  </si>
  <si>
    <t>выкуплен 29.01</t>
  </si>
  <si>
    <t>http://www.purepara.com/en/deodorants-hommes/1625-lierac-homme-deodorant-roll-on-50ml-3508240212704.html</t>
  </si>
  <si>
    <t>UltraViolettt</t>
  </si>
  <si>
    <t>http://www.purepara.com/en/beaute-et-soins/684-avene-cleanance-lotion-200ml-3282779041966.html </t>
  </si>
  <si>
    <t>http://www.purepara.com/en/beaute-et-soins/1232-avene-clean-ac-creme-lavante-200ml-3282779222600.html</t>
  </si>
  <si>
    <t>janechka</t>
  </si>
  <si>
    <t xml:space="preserve">http://www.purepara.com/en/bioderma/24462-product-3401326300473.html </t>
  </si>
  <si>
    <t>http://www.purepara.com/en/cremes/2906-avene-solaire-50spf-creme-minerale-50ml-3282779355773.html</t>
  </si>
  <si>
    <t>http://www.purepara.com/en/nettoyants-corps/1754-bioderma-atoderm-gel-douche-1l-3401399372926.html</t>
  </si>
  <si>
    <t>http://www.purepara.com/en/beaute-et-soins/845-lrp-effaclar-k-30ml-3337872412233.html</t>
  </si>
  <si>
    <t>zolotkat</t>
  </si>
  <si>
    <t>Katerina_86</t>
  </si>
  <si>
    <t>Инес Афинская</t>
  </si>
  <si>
    <t>609 р оплаты перенесла на кокон 29</t>
  </si>
  <si>
    <t>внесла 13 р с переплаты фармашоп 6</t>
  </si>
  <si>
    <t>выкуплен 11.03</t>
  </si>
  <si>
    <t>BrnNsk</t>
  </si>
  <si>
    <t>havana</t>
  </si>
  <si>
    <t>Жасмин77</t>
  </si>
  <si>
    <t>may-lyudmila</t>
  </si>
  <si>
    <t>Нежить</t>
  </si>
  <si>
    <t>http://www.purepara.com/en/beaute-et-soins/687-avene-cleanace-k-40ml-3282779042901.html</t>
  </si>
  <si>
    <t>Оплата до   16.03  включительно</t>
  </si>
  <si>
    <t>5, 6</t>
  </si>
  <si>
    <t>1, 2, 6</t>
  </si>
  <si>
    <t>учтен депозит 173 р.</t>
  </si>
  <si>
    <t>2, 5, 6</t>
  </si>
  <si>
    <t>http://www.purepara.com/en/beaute-et-soins/400-crealine-h2o-solution-micellaire-ss-parfum-2x250ml-3401525599067.html </t>
  </si>
  <si>
    <t>Уже в пути</t>
  </si>
  <si>
    <t>teona</t>
  </si>
  <si>
    <t xml:space="preserve">aromania  </t>
  </si>
  <si>
    <t>Vlada_13</t>
  </si>
  <si>
    <t>Ms.Ki</t>
  </si>
  <si>
    <t>Elena Z</t>
  </si>
  <si>
    <t>Katya May</t>
  </si>
  <si>
    <t>Надежда Прекрасная</t>
  </si>
  <si>
    <t>Elenn</t>
  </si>
  <si>
    <t>Дорагуша</t>
  </si>
  <si>
    <t xml:space="preserve">Yana_7  </t>
  </si>
  <si>
    <t>320 р. Перенесла со сверки фармашоп 13</t>
  </si>
  <si>
    <t>2 евро вернули за протек, в счет наличия 22.12.2014</t>
  </si>
  <si>
    <t>Курс будет уточнен после списания банком</t>
  </si>
  <si>
    <t>Оплата до 17 февраля, об оплате пишите в форму оплат из 1 поста</t>
  </si>
  <si>
    <t>MISS JM</t>
  </si>
  <si>
    <t>ole2190</t>
  </si>
  <si>
    <t>Афаня</t>
  </si>
  <si>
    <t>lensh</t>
  </si>
  <si>
    <t>f.irina</t>
  </si>
  <si>
    <t>gloriya1</t>
  </si>
  <si>
    <t>n_n_n_n_n</t>
  </si>
  <si>
    <r>
      <t xml:space="preserve">Стоимость заказа </t>
    </r>
    <r>
      <rPr>
        <b/>
        <u val="single"/>
        <sz val="11"/>
        <color indexed="10"/>
        <rFont val="Calibri"/>
        <family val="2"/>
      </rPr>
      <t>со скидкой</t>
    </r>
    <r>
      <rPr>
        <b/>
        <sz val="11"/>
        <color indexed="8"/>
        <rFont val="Calibri"/>
        <family val="2"/>
      </rPr>
      <t>, евро</t>
    </r>
  </si>
  <si>
    <t>1, 2, 4, 5, 7, 9</t>
  </si>
  <si>
    <t>2, 3, 6, 7</t>
  </si>
  <si>
    <t>1, 2, 3, 5, 9</t>
  </si>
  <si>
    <r>
      <t>Стоимость заказа</t>
    </r>
    <r>
      <rPr>
        <b/>
        <sz val="11"/>
        <color indexed="8"/>
        <rFont val="Calibri"/>
        <family val="2"/>
      </rPr>
      <t>, евро</t>
    </r>
  </si>
  <si>
    <t>ВЕС, грамм</t>
  </si>
  <si>
    <t>Руф</t>
  </si>
  <si>
    <t>Вишня*</t>
  </si>
  <si>
    <t>Jokondich29</t>
  </si>
  <si>
    <t>Паучиха</t>
  </si>
  <si>
    <t>1, 2, 8, 10</t>
  </si>
  <si>
    <t>руф</t>
  </si>
  <si>
    <t>12 р перенесла с кокон92</t>
  </si>
  <si>
    <t>14 р перенесла с кокон95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</si>
</sst>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rgb="FFFF0000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14" fontId="53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 horizontal="right"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55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" fontId="56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42" fillId="34" borderId="10" xfId="0" applyNumberFormat="1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1" xfId="42" applyFont="1" applyFill="1" applyBorder="1" applyAlignment="1" applyProtection="1">
      <alignment/>
      <protection/>
    </xf>
    <xf numFmtId="2" fontId="0" fillId="35" borderId="10" xfId="0" applyNumberFormat="1" applyFill="1" applyBorder="1" applyAlignment="1">
      <alignment horizontal="center" wrapText="1"/>
    </xf>
    <xf numFmtId="3" fontId="55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3" fontId="29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wrapText="1"/>
    </xf>
    <xf numFmtId="0" fontId="58" fillId="33" borderId="0" xfId="0" applyFont="1" applyFill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42" applyFont="1" applyFill="1" applyBorder="1" applyAlignment="1" applyProtection="1">
      <alignment/>
      <protection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9" fillId="36" borderId="10" xfId="0" applyFont="1" applyFill="1" applyBorder="1" applyAlignment="1">
      <alignment/>
    </xf>
    <xf numFmtId="0" fontId="59" fillId="36" borderId="13" xfId="0" applyFont="1" applyFill="1" applyBorder="1" applyAlignment="1">
      <alignment/>
    </xf>
    <xf numFmtId="0" fontId="38" fillId="0" borderId="0" xfId="42" applyAlignment="1" applyProtection="1">
      <alignment/>
      <protection/>
    </xf>
    <xf numFmtId="0" fontId="38" fillId="0" borderId="10" xfId="42" applyBorder="1" applyAlignment="1" applyProtection="1">
      <alignment/>
      <protection/>
    </xf>
    <xf numFmtId="0" fontId="60" fillId="0" borderId="0" xfId="0" applyFont="1" applyAlignment="1">
      <alignment/>
    </xf>
    <xf numFmtId="0" fontId="0" fillId="33" borderId="13" xfId="0" applyFill="1" applyBorder="1" applyAlignment="1">
      <alignment horizontal="center" wrapText="1"/>
    </xf>
    <xf numFmtId="0" fontId="38" fillId="0" borderId="0" xfId="42" applyFont="1" applyAlignment="1" applyProtection="1">
      <alignment/>
      <protection/>
    </xf>
    <xf numFmtId="0" fontId="55" fillId="33" borderId="0" xfId="0" applyFont="1" applyFill="1" applyAlignment="1">
      <alignment/>
    </xf>
    <xf numFmtId="0" fontId="38" fillId="0" borderId="10" xfId="42" applyFont="1" applyBorder="1" applyAlignment="1" applyProtection="1">
      <alignment/>
      <protection/>
    </xf>
    <xf numFmtId="2" fontId="0" fillId="33" borderId="14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4" fontId="5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 horizontal="right"/>
    </xf>
    <xf numFmtId="2" fontId="5" fillId="37" borderId="0" xfId="0" applyNumberFormat="1" applyFont="1" applyFill="1" applyAlignment="1">
      <alignment horizontal="center"/>
    </xf>
    <xf numFmtId="0" fontId="61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4" borderId="10" xfId="42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 horizontal="center"/>
    </xf>
    <xf numFmtId="0" fontId="0" fillId="33" borderId="10" xfId="42" applyFont="1" applyFill="1" applyBorder="1" applyAlignment="1" applyProtection="1">
      <alignment/>
      <protection/>
    </xf>
    <xf numFmtId="0" fontId="0" fillId="33" borderId="11" xfId="42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17" xfId="42" applyFont="1" applyFill="1" applyBorder="1" applyAlignment="1" applyProtection="1">
      <alignment/>
      <protection/>
    </xf>
    <xf numFmtId="0" fontId="0" fillId="33" borderId="18" xfId="42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2" xfId="42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fr/deodorants-hommes/1625-lierac-homme-deodorant-roll-on-24h-50ml-3508240212704.html" TargetMode="External" /><Relationship Id="rId2" Type="http://schemas.openxmlformats.org/officeDocument/2006/relationships/hyperlink" Target="http://www.purepara.com/fr/nettoyants-visage/3081-sanoflore-mousse-d-eau-nettoyante-150ml-3337873400901.html" TargetMode="External" /><Relationship Id="rId3" Type="http://schemas.openxmlformats.org/officeDocument/2006/relationships/hyperlink" Target="http://www.purepara.com/fr/bebe-et-maman/795-huile-de-massage-vergetures-weleda-100ml-3596204520002.html" TargetMode="External" /><Relationship Id="rId4" Type="http://schemas.openxmlformats.org/officeDocument/2006/relationships/hyperlink" Target="http://www.purepara.com/en/beaute-et-soins/864-avene-hydrance-optimale-legere-creme-40ml-3282779206303.html" TargetMode="External" /><Relationship Id="rId5" Type="http://schemas.openxmlformats.org/officeDocument/2006/relationships/hyperlink" Target="mailto:An@stasia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nettoyants-visage/3081-sanoflore-mousse-d-eau-nettoyante-150ml-3337873400901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deodorants-hommes/1625-lierac-homme-deodorant-roll-on-50ml-3508240212704.html" TargetMode="External" /><Relationship Id="rId2" Type="http://schemas.openxmlformats.org/officeDocument/2006/relationships/hyperlink" Target="http://www.purepara.com/en/beaute-et-soins/684-avene-cleanance-lotion-200ml-3282779041966.html" TargetMode="External" /><Relationship Id="rId3" Type="http://schemas.openxmlformats.org/officeDocument/2006/relationships/hyperlink" Target="http://www.purepara.com/en/beaute-et-soins/1232-avene-clean-ac-creme-lavante-200ml-3282779222600.html" TargetMode="External" /><Relationship Id="rId4" Type="http://schemas.openxmlformats.org/officeDocument/2006/relationships/hyperlink" Target="http://www.purepara.com/en/cremes/2906-avene-solaire-50spf-creme-minerale-50ml-3282779355773.html" TargetMode="External" /><Relationship Id="rId5" Type="http://schemas.openxmlformats.org/officeDocument/2006/relationships/hyperlink" Target="http://www.purepara.com/en/bioderma/24462-product-3401326300473.html" TargetMode="External" /><Relationship Id="rId6" Type="http://schemas.openxmlformats.org/officeDocument/2006/relationships/hyperlink" Target="http://www.purepara.com/en/nettoyants-corps/1754-bioderma-atoderm-gel-douche-1l-3401399372926.html" TargetMode="External" /><Relationship Id="rId7" Type="http://schemas.openxmlformats.org/officeDocument/2006/relationships/hyperlink" Target="http://www.purepara.com/en/beaute-et-soins/845-lrp-effaclar-k-30ml-3337872412233.html" TargetMode="External" /><Relationship Id="rId8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beaute-et-soins/687-avene-cleanace-k-40ml-3282779042901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beaute-et-soins/400-crealine-h2o-solution-micellaire-ss-parfum-2x250ml-340152559906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">
      <selection activeCell="B12" sqref="B12"/>
    </sheetView>
  </sheetViews>
  <sheetFormatPr defaultColWidth="9.140625" defaultRowHeight="15"/>
  <cols>
    <col min="1" max="1" width="22.140625" style="71" customWidth="1"/>
    <col min="2" max="2" width="13.28125" style="36" customWidth="1"/>
    <col min="3" max="3" width="15.28125" style="0" customWidth="1"/>
  </cols>
  <sheetData>
    <row r="1" spans="1:4" ht="45">
      <c r="A1" s="62" t="s">
        <v>31</v>
      </c>
      <c r="B1" s="21" t="s">
        <v>32</v>
      </c>
      <c r="C1" s="21" t="s">
        <v>33</v>
      </c>
      <c r="D1" s="32" t="s">
        <v>34</v>
      </c>
    </row>
    <row r="2" spans="1:3" ht="15">
      <c r="A2" s="63" t="s">
        <v>94</v>
      </c>
      <c r="B2" s="35">
        <f>7!G7</f>
        <v>0.3214824097493789</v>
      </c>
      <c r="C2" s="34">
        <v>11</v>
      </c>
    </row>
    <row r="3" spans="1:3" ht="15">
      <c r="A3" s="63" t="s">
        <v>80</v>
      </c>
      <c r="B3" s="35">
        <f>6!G6</f>
        <v>-3.7166638108293455</v>
      </c>
      <c r="C3" s="34">
        <v>6</v>
      </c>
    </row>
    <row r="4" spans="1:3" ht="15">
      <c r="A4" s="63" t="s">
        <v>97</v>
      </c>
      <c r="B4" s="35">
        <f>8!G5</f>
        <v>-5.0730788189553095</v>
      </c>
      <c r="C4" s="50">
        <v>8</v>
      </c>
    </row>
    <row r="5" spans="1:3" ht="15">
      <c r="A5" s="63" t="s">
        <v>100</v>
      </c>
      <c r="B5" s="35">
        <f>8!G8</f>
        <v>-1.7531190060291806</v>
      </c>
      <c r="C5" s="50">
        <v>8</v>
      </c>
    </row>
    <row r="6" spans="1:3" ht="15">
      <c r="A6" s="63" t="s">
        <v>18</v>
      </c>
      <c r="B6" s="35">
        <f>2!G4+3!G9+6!G4+7!G4</f>
        <v>-8.364545005286743</v>
      </c>
      <c r="C6" s="34" t="s">
        <v>116</v>
      </c>
    </row>
    <row r="7" spans="1:3" ht="15">
      <c r="A7" s="63" t="s">
        <v>111</v>
      </c>
      <c r="B7" s="35">
        <f>9!G9</f>
        <v>63.48752787764329</v>
      </c>
      <c r="C7" s="50">
        <v>9</v>
      </c>
    </row>
    <row r="8" spans="1:3" ht="15">
      <c r="A8" s="63" t="s">
        <v>112</v>
      </c>
      <c r="B8" s="35">
        <f>9!G10</f>
        <v>9.365629012691045</v>
      </c>
      <c r="C8" s="50">
        <v>9</v>
      </c>
    </row>
    <row r="9" spans="1:3" ht="14.25" customHeight="1">
      <c r="A9" s="63" t="s">
        <v>81</v>
      </c>
      <c r="B9" s="35">
        <f>6!G7</f>
        <v>-0.011264050719546503</v>
      </c>
      <c r="C9" s="34">
        <v>6</v>
      </c>
    </row>
    <row r="10" spans="1:3" ht="15">
      <c r="A10" s="63" t="s">
        <v>69</v>
      </c>
      <c r="B10" s="35">
        <f>5!G12</f>
        <v>-3.792407905572361</v>
      </c>
      <c r="C10" s="34">
        <v>5</v>
      </c>
    </row>
    <row r="11" spans="1:3" ht="15">
      <c r="A11" s="37" t="s">
        <v>122</v>
      </c>
      <c r="B11" s="35">
        <f>'10'!H7</f>
        <v>0.4139795683454395</v>
      </c>
      <c r="C11" s="34">
        <v>10</v>
      </c>
    </row>
    <row r="12" spans="1:3" ht="15">
      <c r="A12" s="64" t="s">
        <v>20</v>
      </c>
      <c r="B12" s="35">
        <f>1!G12+2!G11+8!G10+'10'!H4</f>
        <v>-46.807600717538435</v>
      </c>
      <c r="C12" s="34" t="s">
        <v>124</v>
      </c>
    </row>
    <row r="13" spans="1:3" ht="15">
      <c r="A13" s="63" t="s">
        <v>75</v>
      </c>
      <c r="B13" s="35">
        <f>5!G10</f>
        <v>0.4801077134229672</v>
      </c>
      <c r="C13" s="34">
        <v>5</v>
      </c>
    </row>
    <row r="14" spans="1:3" ht="15">
      <c r="A14" s="63" t="s">
        <v>98</v>
      </c>
      <c r="B14" s="35">
        <f>8!G6</f>
        <v>-1.5367010649686108</v>
      </c>
      <c r="C14" s="50">
        <v>8</v>
      </c>
    </row>
    <row r="15" spans="1:3" ht="15">
      <c r="A15" s="65" t="s">
        <v>17</v>
      </c>
      <c r="B15" s="35">
        <f>1!G7+3!G6</f>
        <v>-4.214897909833667</v>
      </c>
      <c r="C15" s="34" t="s">
        <v>56</v>
      </c>
    </row>
    <row r="16" spans="1:3" ht="15">
      <c r="A16" s="63" t="s">
        <v>37</v>
      </c>
      <c r="B16" s="35">
        <f>2!G8+3!G7</f>
        <v>-4.064404382539749</v>
      </c>
      <c r="C16" s="34" t="s">
        <v>57</v>
      </c>
    </row>
    <row r="17" spans="1:3" ht="15">
      <c r="A17" s="63" t="s">
        <v>110</v>
      </c>
      <c r="B17" s="35">
        <f>9!G8</f>
        <v>63.48752787764329</v>
      </c>
      <c r="C17" s="50">
        <v>9</v>
      </c>
    </row>
    <row r="18" spans="1:3" ht="15">
      <c r="A18" s="65" t="s">
        <v>25</v>
      </c>
      <c r="B18" s="35">
        <f>1!G18</f>
        <v>-0.00014564234993486025</v>
      </c>
      <c r="C18" s="34">
        <v>1</v>
      </c>
    </row>
    <row r="19" spans="1:3" ht="15">
      <c r="A19" s="63" t="s">
        <v>40</v>
      </c>
      <c r="B19" s="38">
        <f>2!G14</f>
        <v>5.73063875500975</v>
      </c>
      <c r="C19" s="39">
        <v>2</v>
      </c>
    </row>
    <row r="20" spans="1:3" ht="15">
      <c r="A20" s="66" t="s">
        <v>39</v>
      </c>
      <c r="B20" s="38">
        <f>2!G13</f>
        <v>11.169881954926495</v>
      </c>
      <c r="C20" s="39">
        <v>2</v>
      </c>
    </row>
    <row r="21" spans="1:3" ht="15">
      <c r="A21" s="66" t="s">
        <v>83</v>
      </c>
      <c r="B21" s="38">
        <f>6!G11</f>
        <v>-10.866114461960024</v>
      </c>
      <c r="C21" s="39">
        <v>6</v>
      </c>
    </row>
    <row r="22" spans="1:3" ht="15">
      <c r="A22" s="64" t="s">
        <v>107</v>
      </c>
      <c r="B22" s="35">
        <f>9!G4</f>
        <v>0.12607803247271931</v>
      </c>
      <c r="C22" s="50">
        <v>9</v>
      </c>
    </row>
    <row r="23" spans="1:3" ht="15">
      <c r="A23" s="63" t="s">
        <v>96</v>
      </c>
      <c r="B23" s="35">
        <f>8!G4</f>
        <v>0.23380000000003065</v>
      </c>
      <c r="C23" s="50">
        <v>8</v>
      </c>
    </row>
    <row r="24" spans="1:3" ht="15">
      <c r="A24" s="67" t="s">
        <v>113</v>
      </c>
      <c r="B24" s="52">
        <f>9!G12</f>
        <v>0.06549465297666757</v>
      </c>
      <c r="C24" s="59">
        <v>9</v>
      </c>
    </row>
    <row r="25" spans="1:3" ht="15">
      <c r="A25" s="63" t="s">
        <v>44</v>
      </c>
      <c r="B25" s="35">
        <f>3!G5</f>
        <v>-0.17676546459597375</v>
      </c>
      <c r="C25" s="34">
        <v>3</v>
      </c>
    </row>
    <row r="26" spans="1:3" ht="15">
      <c r="A26" s="66" t="s">
        <v>108</v>
      </c>
      <c r="B26" s="38">
        <f>9!G5</f>
        <v>-0.30857923039411617</v>
      </c>
      <c r="C26" s="51">
        <v>9</v>
      </c>
    </row>
    <row r="27" spans="1:3" ht="15">
      <c r="A27" s="68" t="s">
        <v>26</v>
      </c>
      <c r="B27" s="35">
        <f>1!G17+2!G12+6!G9</f>
        <v>0.486684198400269</v>
      </c>
      <c r="C27" s="34" t="s">
        <v>88</v>
      </c>
    </row>
    <row r="28" spans="1:3" ht="15">
      <c r="A28" s="68" t="s">
        <v>15</v>
      </c>
      <c r="B28" s="35">
        <f>1!G10</f>
        <v>0.3332524209167218</v>
      </c>
      <c r="C28" s="34">
        <v>1</v>
      </c>
    </row>
    <row r="29" spans="1:3" ht="15">
      <c r="A29" s="64" t="s">
        <v>48</v>
      </c>
      <c r="B29" s="35">
        <f>5!G5</f>
        <v>0.43682536371113656</v>
      </c>
      <c r="C29" s="34">
        <v>5</v>
      </c>
    </row>
    <row r="30" spans="1:3" ht="15">
      <c r="A30" s="69" t="s">
        <v>47</v>
      </c>
      <c r="B30" s="52">
        <f>3!G11</f>
        <v>-6.450283758883984</v>
      </c>
      <c r="C30" s="53">
        <v>3</v>
      </c>
    </row>
    <row r="31" spans="1:5" ht="15">
      <c r="A31" s="63" t="s">
        <v>93</v>
      </c>
      <c r="B31" s="35">
        <f>7!G5</f>
        <v>-7.566133363991867</v>
      </c>
      <c r="C31" s="34">
        <v>11</v>
      </c>
      <c r="D31" s="54"/>
      <c r="E31" s="54"/>
    </row>
    <row r="32" spans="1:3" ht="15">
      <c r="A32" s="70" t="s">
        <v>66</v>
      </c>
      <c r="B32" s="38">
        <f>5!G4+6!G5</f>
        <v>0.11903466305744814</v>
      </c>
      <c r="C32" s="39" t="s">
        <v>87</v>
      </c>
    </row>
    <row r="33" spans="1:3" ht="15">
      <c r="A33" s="63" t="s">
        <v>95</v>
      </c>
      <c r="B33" s="35">
        <f>7!G8</f>
        <v>-1.1209699931018804</v>
      </c>
      <c r="C33" s="34">
        <v>7</v>
      </c>
    </row>
    <row r="34" spans="1:3" ht="15">
      <c r="A34" s="63" t="s">
        <v>36</v>
      </c>
      <c r="B34" s="35">
        <f>2!G7+5!G7+6!G10</f>
        <v>-6.82791515383235</v>
      </c>
      <c r="C34" s="34" t="s">
        <v>90</v>
      </c>
    </row>
    <row r="35" spans="1:3" ht="15">
      <c r="A35" s="63" t="s">
        <v>102</v>
      </c>
      <c r="B35" s="35">
        <f>8!G11</f>
        <v>-6.080043838395227</v>
      </c>
      <c r="C35" s="50">
        <v>8</v>
      </c>
    </row>
    <row r="36" spans="1:3" ht="15">
      <c r="A36" s="63" t="s">
        <v>23</v>
      </c>
      <c r="B36" s="35">
        <f>1!G15+2!G6+3!G4+5!G9+9!G7</f>
        <v>-0.41221297237848376</v>
      </c>
      <c r="C36" s="34" t="s">
        <v>117</v>
      </c>
    </row>
    <row r="37" spans="1:4" ht="15">
      <c r="A37" s="63" t="s">
        <v>74</v>
      </c>
      <c r="B37" s="35">
        <f>5!G8</f>
        <v>-3.3369629426296115</v>
      </c>
      <c r="C37" s="34">
        <v>5</v>
      </c>
      <c r="D37" s="54"/>
    </row>
    <row r="38" spans="1:3" ht="15">
      <c r="A38" s="63" t="s">
        <v>109</v>
      </c>
      <c r="B38" s="35">
        <f>9!G6</f>
        <v>153.33991159615744</v>
      </c>
      <c r="C38" s="50">
        <v>9</v>
      </c>
    </row>
    <row r="39" spans="1:3" ht="15">
      <c r="A39" s="65" t="s">
        <v>60</v>
      </c>
      <c r="B39" s="35">
        <f>4!G4</f>
        <v>6.088454514645491</v>
      </c>
      <c r="C39" s="34">
        <v>4</v>
      </c>
    </row>
    <row r="40" spans="1:3" ht="15">
      <c r="A40" s="63" t="s">
        <v>41</v>
      </c>
      <c r="B40" s="35">
        <f>2!G15+4!G7</f>
        <v>-0.13175464684672988</v>
      </c>
      <c r="C40" s="34" t="s">
        <v>62</v>
      </c>
    </row>
    <row r="41" spans="1:3" ht="15">
      <c r="A41" s="37" t="s">
        <v>121</v>
      </c>
      <c r="B41" s="35">
        <f>'10'!H6</f>
        <v>0.20726762589924874</v>
      </c>
      <c r="C41" s="34">
        <v>10</v>
      </c>
    </row>
    <row r="42" spans="1:3" ht="15">
      <c r="A42" s="63" t="s">
        <v>101</v>
      </c>
      <c r="B42" s="35">
        <f>8!G9</f>
        <v>-0.818712210514434</v>
      </c>
      <c r="C42" s="50">
        <v>8</v>
      </c>
    </row>
    <row r="43" spans="1:3" ht="15">
      <c r="A43" s="63" t="s">
        <v>82</v>
      </c>
      <c r="B43" s="35">
        <f>6!G8</f>
        <v>-1.1430116518162947</v>
      </c>
      <c r="C43" s="34">
        <v>6</v>
      </c>
    </row>
    <row r="44" spans="1:3" ht="15">
      <c r="A44" s="65" t="s">
        <v>19</v>
      </c>
      <c r="B44" s="35">
        <f>1!G11</f>
        <v>-0.2941665590703906</v>
      </c>
      <c r="C44" s="34">
        <v>1</v>
      </c>
    </row>
    <row r="45" spans="1:3" ht="15">
      <c r="A45" s="63" t="s">
        <v>76</v>
      </c>
      <c r="B45" s="35">
        <f>5!G11</f>
        <v>-0.26357342849291854</v>
      </c>
      <c r="C45" s="34">
        <v>5</v>
      </c>
    </row>
    <row r="46" spans="1:3" ht="15">
      <c r="A46" s="65" t="s">
        <v>21</v>
      </c>
      <c r="B46" s="35">
        <f>1!G13</f>
        <v>-0.1303044544868044</v>
      </c>
      <c r="C46" s="34">
        <v>1</v>
      </c>
    </row>
    <row r="47" spans="1:3" ht="15">
      <c r="A47" s="63" t="s">
        <v>45</v>
      </c>
      <c r="B47" s="35">
        <f>3!G8</f>
        <v>0.4837641484601818</v>
      </c>
      <c r="C47" s="34">
        <v>3</v>
      </c>
    </row>
    <row r="48" spans="1:3" ht="15">
      <c r="A48" s="63" t="s">
        <v>13</v>
      </c>
      <c r="B48" s="35">
        <f>1!G8+2!G10+4!G6+5!G6+7!G6+9!G11</f>
        <v>81.6433069323416</v>
      </c>
      <c r="C48" s="34" t="s">
        <v>115</v>
      </c>
    </row>
    <row r="49" spans="1:3" ht="15">
      <c r="A49" s="63" t="s">
        <v>99</v>
      </c>
      <c r="B49" s="35">
        <f>8!G7</f>
        <v>-4.7988583422549596</v>
      </c>
      <c r="C49" s="50">
        <v>8</v>
      </c>
    </row>
    <row r="50" spans="1:3" ht="15">
      <c r="A50" s="65" t="s">
        <v>22</v>
      </c>
      <c r="B50" s="35">
        <f>1!G14+2!G5</f>
        <v>4.357862763844054</v>
      </c>
      <c r="C50" s="34" t="s">
        <v>42</v>
      </c>
    </row>
    <row r="51" spans="1:3" ht="15">
      <c r="A51" s="63" t="s">
        <v>84</v>
      </c>
      <c r="B51" s="35">
        <f>6!G12</f>
        <v>0.06586960246750095</v>
      </c>
      <c r="C51" s="34">
        <v>6</v>
      </c>
    </row>
    <row r="52" spans="1:3" ht="15">
      <c r="A52" s="65" t="s">
        <v>61</v>
      </c>
      <c r="B52" s="35">
        <f>4!G5</f>
        <v>4.034274993948316</v>
      </c>
      <c r="C52" s="34">
        <v>4</v>
      </c>
    </row>
    <row r="53" spans="1:3" ht="15">
      <c r="A53" s="63" t="s">
        <v>46</v>
      </c>
      <c r="B53" s="35">
        <f>3!G10</f>
        <v>-0.4405738352197659</v>
      </c>
      <c r="C53" s="34">
        <v>3</v>
      </c>
    </row>
    <row r="54" spans="1:3" ht="15">
      <c r="A54" s="63" t="s">
        <v>38</v>
      </c>
      <c r="B54" s="35">
        <f>2!G9</f>
        <v>3.6912484255451545</v>
      </c>
      <c r="C54" s="34">
        <v>2</v>
      </c>
    </row>
    <row r="55" spans="1:3" ht="15">
      <c r="A55" s="37" t="s">
        <v>123</v>
      </c>
      <c r="B55" s="35">
        <f>'10'!H8</f>
        <v>-54.221736690647504</v>
      </c>
      <c r="C55" s="34">
        <v>10</v>
      </c>
    </row>
    <row r="56" spans="1:3" ht="15">
      <c r="A56" s="63" t="s">
        <v>125</v>
      </c>
      <c r="B56" s="35">
        <f>'10'!H5</f>
        <v>-22.993887050359263</v>
      </c>
      <c r="C56" s="34">
        <v>10</v>
      </c>
    </row>
    <row r="57" spans="1:3" ht="15">
      <c r="A57" s="65" t="s">
        <v>12</v>
      </c>
      <c r="B57" s="35">
        <f>1!G9</f>
        <v>-13.68939444803101</v>
      </c>
      <c r="C57" s="34">
        <v>1</v>
      </c>
    </row>
    <row r="58" spans="1:3" ht="15">
      <c r="A58" s="65" t="s">
        <v>24</v>
      </c>
      <c r="B58" s="35">
        <f>1!G16</f>
        <v>22.830075661717046</v>
      </c>
      <c r="C58" s="3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5.140625" style="0" customWidth="1"/>
    <col min="2" max="2" width="17.8515625" style="0" customWidth="1"/>
    <col min="3" max="3" width="14.421875" style="0" customWidth="1"/>
  </cols>
  <sheetData>
    <row r="1" spans="1:5" s="5" customFormat="1" ht="21.75" customHeight="1">
      <c r="A1" s="1" t="s">
        <v>0</v>
      </c>
      <c r="B1" s="55">
        <v>42050</v>
      </c>
      <c r="C1" s="56" t="s">
        <v>1</v>
      </c>
      <c r="D1" s="57">
        <v>73.5</v>
      </c>
      <c r="E1" s="5" t="s">
        <v>2</v>
      </c>
    </row>
    <row r="2" s="5" customFormat="1" ht="23.25" customHeight="1">
      <c r="A2" s="6"/>
    </row>
    <row r="3" spans="1:7" s="9" customFormat="1" ht="60">
      <c r="A3" s="7" t="s">
        <v>3</v>
      </c>
      <c r="B3" s="8" t="s">
        <v>114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8" s="5" customFormat="1" ht="15.75" customHeight="1">
      <c r="A4" s="37" t="s">
        <v>107</v>
      </c>
      <c r="B4" s="36">
        <f>8.95*0.9</f>
        <v>8.055</v>
      </c>
      <c r="C4" s="19">
        <f>B4/$B$14*$C$14</f>
        <v>0.555529550578603</v>
      </c>
      <c r="D4" s="19">
        <f aca="true" t="shared" si="0" ref="D4:D12">B4+C4</f>
        <v>8.610529550578603</v>
      </c>
      <c r="E4" s="11">
        <f>D4*$D$1</f>
        <v>632.8739219675273</v>
      </c>
      <c r="F4" s="12">
        <f>653-20</f>
        <v>633</v>
      </c>
      <c r="G4" s="13">
        <f aca="true" t="shared" si="1" ref="G4:G12">F4-E4</f>
        <v>0.12607803247271931</v>
      </c>
      <c r="H4" s="47"/>
    </row>
    <row r="5" spans="1:7" s="5" customFormat="1" ht="15">
      <c r="A5" s="37" t="s">
        <v>108</v>
      </c>
      <c r="B5" s="45">
        <f>13.75*0.95</f>
        <v>13.0625</v>
      </c>
      <c r="C5" s="19">
        <f aca="true" t="shared" si="2" ref="C5:C13">B5/$B$14*$C$14</f>
        <v>0.9008820303454999</v>
      </c>
      <c r="D5" s="19">
        <f t="shared" si="0"/>
        <v>13.9633820303455</v>
      </c>
      <c r="E5" s="11">
        <f aca="true" t="shared" si="3" ref="E5:E12">D5*$D$1</f>
        <v>1026.3085792303941</v>
      </c>
      <c r="F5" s="12">
        <f>1059-33</f>
        <v>1026</v>
      </c>
      <c r="G5" s="13">
        <f t="shared" si="1"/>
        <v>-0.30857923039411617</v>
      </c>
    </row>
    <row r="6" spans="1:7" s="5" customFormat="1" ht="15.75" customHeight="1">
      <c r="A6" s="37" t="s">
        <v>109</v>
      </c>
      <c r="B6" s="45">
        <f>64.25*0.95</f>
        <v>61.037499999999994</v>
      </c>
      <c r="C6" s="19">
        <f t="shared" si="2"/>
        <v>4.2095760327053355</v>
      </c>
      <c r="D6" s="19">
        <f t="shared" si="0"/>
        <v>65.24707603270534</v>
      </c>
      <c r="E6" s="11">
        <f t="shared" si="3"/>
        <v>4795.660088403843</v>
      </c>
      <c r="F6" s="12">
        <v>4949</v>
      </c>
      <c r="G6" s="13">
        <f t="shared" si="1"/>
        <v>153.33991159615744</v>
      </c>
    </row>
    <row r="7" spans="1:8" s="5" customFormat="1" ht="15.75" customHeight="1">
      <c r="A7" s="37" t="s">
        <v>23</v>
      </c>
      <c r="B7" s="45">
        <f>101.93*0.95+35.9*0.9</f>
        <v>129.14350000000002</v>
      </c>
      <c r="C7" s="19">
        <f>B7/$B$14*$C$14</f>
        <v>8.906645625716676</v>
      </c>
      <c r="D7" s="19">
        <f t="shared" si="0"/>
        <v>138.05014562571668</v>
      </c>
      <c r="E7" s="11">
        <f t="shared" si="3"/>
        <v>10146.685703490177</v>
      </c>
      <c r="F7" s="60">
        <f>6962.3+3493-310</f>
        <v>10145.3</v>
      </c>
      <c r="G7" s="13">
        <f t="shared" si="1"/>
        <v>-1.3857034901775478</v>
      </c>
      <c r="H7" s="47"/>
    </row>
    <row r="8" spans="1:7" s="5" customFormat="1" ht="15">
      <c r="A8" s="37" t="s">
        <v>110</v>
      </c>
      <c r="B8" s="45">
        <f>26.4*0.95</f>
        <v>25.08</v>
      </c>
      <c r="C8" s="19">
        <f>B8/$B$14*$C$14</f>
        <v>1.7296934982633596</v>
      </c>
      <c r="D8" s="19">
        <f t="shared" si="0"/>
        <v>26.809693498263357</v>
      </c>
      <c r="E8" s="11">
        <f t="shared" si="3"/>
        <v>1970.5124721223567</v>
      </c>
      <c r="F8" s="12">
        <v>2034</v>
      </c>
      <c r="G8" s="13">
        <f t="shared" si="1"/>
        <v>63.48752787764329</v>
      </c>
    </row>
    <row r="9" spans="1:7" s="5" customFormat="1" ht="15.75" customHeight="1">
      <c r="A9" s="37" t="s">
        <v>111</v>
      </c>
      <c r="B9" s="45">
        <f>26.4*0.95</f>
        <v>25.08</v>
      </c>
      <c r="C9" s="19">
        <f>B9/$B$14*$C$14</f>
        <v>1.7296934982633596</v>
      </c>
      <c r="D9" s="19">
        <f t="shared" si="0"/>
        <v>26.809693498263357</v>
      </c>
      <c r="E9" s="11">
        <f t="shared" si="3"/>
        <v>1970.5124721223567</v>
      </c>
      <c r="F9" s="12">
        <v>2034</v>
      </c>
      <c r="G9" s="13">
        <f t="shared" si="1"/>
        <v>63.48752787764329</v>
      </c>
    </row>
    <row r="10" spans="1:7" s="5" customFormat="1" ht="15.75" customHeight="1">
      <c r="A10" s="37" t="s">
        <v>112</v>
      </c>
      <c r="B10" s="45">
        <f>3.8*0.95</f>
        <v>3.61</v>
      </c>
      <c r="C10" s="19">
        <f>B10/$B$14*$C$14</f>
        <v>0.24897103384093813</v>
      </c>
      <c r="D10" s="19">
        <f>B10+C10</f>
        <v>3.858971033840938</v>
      </c>
      <c r="E10" s="11">
        <f t="shared" si="3"/>
        <v>283.63437098730896</v>
      </c>
      <c r="F10" s="12">
        <v>293</v>
      </c>
      <c r="G10" s="13">
        <f>F10-E10</f>
        <v>9.365629012691045</v>
      </c>
    </row>
    <row r="11" spans="1:7" s="5" customFormat="1" ht="15.75" customHeight="1">
      <c r="A11" s="37" t="s">
        <v>13</v>
      </c>
      <c r="B11" s="45">
        <f>35.9*0.9</f>
        <v>32.31</v>
      </c>
      <c r="C11" s="19">
        <f>B11/$B$14*$C$14</f>
        <v>2.228325236399089</v>
      </c>
      <c r="D11" s="19">
        <f>B11+C11</f>
        <v>34.53832523639909</v>
      </c>
      <c r="E11" s="11">
        <f t="shared" si="3"/>
        <v>2538.566904875333</v>
      </c>
      <c r="F11" s="12">
        <v>2621</v>
      </c>
      <c r="G11" s="13">
        <f>F11-E11</f>
        <v>82.43309512466703</v>
      </c>
    </row>
    <row r="12" spans="1:7" s="5" customFormat="1" ht="15">
      <c r="A12" s="37" t="s">
        <v>113</v>
      </c>
      <c r="B12" s="45">
        <f>24.53*0.95</f>
        <v>23.3035</v>
      </c>
      <c r="C12" s="19">
        <f t="shared" si="2"/>
        <v>1.6071735421363718</v>
      </c>
      <c r="D12" s="19">
        <f t="shared" si="0"/>
        <v>24.910673542136372</v>
      </c>
      <c r="E12" s="11">
        <f t="shared" si="3"/>
        <v>1830.9345053470233</v>
      </c>
      <c r="F12" s="12">
        <v>1831</v>
      </c>
      <c r="G12" s="13">
        <f t="shared" si="1"/>
        <v>0.06549465297666757</v>
      </c>
    </row>
    <row r="13" spans="1:7" s="5" customFormat="1" ht="15">
      <c r="A13" s="37" t="s">
        <v>10</v>
      </c>
      <c r="B13" s="45">
        <v>40.36</v>
      </c>
      <c r="C13" s="19">
        <f t="shared" si="2"/>
        <v>2.7835099517507653</v>
      </c>
      <c r="D13" s="20"/>
      <c r="E13" s="15"/>
      <c r="F13" s="15"/>
      <c r="G13" s="15"/>
    </row>
    <row r="14" spans="1:7" s="5" customFormat="1" ht="15">
      <c r="A14" s="16"/>
      <c r="B14" s="21">
        <f>SUM(B4:B13)</f>
        <v>361.04200000000003</v>
      </c>
      <c r="C14" s="21">
        <v>24.9</v>
      </c>
      <c r="D14" s="20"/>
      <c r="E14" s="15"/>
      <c r="F14" s="15"/>
      <c r="G14" s="15"/>
    </row>
    <row r="29" ht="31.5">
      <c r="A29" s="17"/>
    </row>
    <row r="30" ht="31.5">
      <c r="A30" s="1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0" zoomScaleNormal="80" zoomScalePageLayoutView="0" workbookViewId="0" topLeftCell="A1">
      <selection activeCell="A20" sqref="A20"/>
    </sheetView>
  </sheetViews>
  <sheetFormatPr defaultColWidth="9.140625" defaultRowHeight="15"/>
  <cols>
    <col min="1" max="1" width="25.00390625" style="0" customWidth="1"/>
    <col min="2" max="2" width="23.28125" style="0" customWidth="1"/>
    <col min="3" max="3" width="12.28125" style="0" customWidth="1"/>
    <col min="4" max="4" width="12.7109375" style="0" customWidth="1"/>
    <col min="5" max="5" width="14.00390625" style="0" customWidth="1"/>
  </cols>
  <sheetData>
    <row r="1" spans="1:6" s="5" customFormat="1" ht="21.75" customHeight="1">
      <c r="A1" s="1" t="s">
        <v>0</v>
      </c>
      <c r="B1" s="55">
        <v>42459</v>
      </c>
      <c r="C1" s="55"/>
      <c r="D1" s="56" t="s">
        <v>1</v>
      </c>
      <c r="E1" s="57">
        <f>79.044</f>
        <v>79.044</v>
      </c>
      <c r="F1" s="5" t="s">
        <v>2</v>
      </c>
    </row>
    <row r="2" s="5" customFormat="1" ht="23.25" customHeight="1">
      <c r="A2" s="6"/>
    </row>
    <row r="3" spans="1:8" s="9" customFormat="1" ht="60">
      <c r="A3" s="7" t="s">
        <v>3</v>
      </c>
      <c r="B3" s="8" t="s">
        <v>118</v>
      </c>
      <c r="C3" s="8" t="s">
        <v>119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9" s="5" customFormat="1" ht="15.75" customHeight="1">
      <c r="A4" s="37" t="s">
        <v>20</v>
      </c>
      <c r="B4" s="34">
        <v>76.4</v>
      </c>
      <c r="C4" s="36">
        <v>380</v>
      </c>
      <c r="D4" s="19">
        <f aca="true" t="shared" si="0" ref="D4:D9">C4/$C$10*$D$10</f>
        <v>1.0935251798561152</v>
      </c>
      <c r="E4" s="19">
        <f>B4+D4</f>
        <v>77.49352517985612</v>
      </c>
      <c r="F4" s="11">
        <f>E4*$E$1</f>
        <v>6125.398204316547</v>
      </c>
      <c r="G4" s="12">
        <v>6075</v>
      </c>
      <c r="H4" s="13">
        <f>G4-F4</f>
        <v>-50.39820431654698</v>
      </c>
      <c r="I4" s="47"/>
    </row>
    <row r="5" spans="1:8" s="5" customFormat="1" ht="15">
      <c r="A5" s="37" t="s">
        <v>120</v>
      </c>
      <c r="B5" s="45">
        <f>31.9*0.75</f>
        <v>23.924999999999997</v>
      </c>
      <c r="C5" s="45">
        <v>250</v>
      </c>
      <c r="D5" s="19">
        <f t="shared" si="0"/>
        <v>0.7194244604316546</v>
      </c>
      <c r="E5" s="19">
        <f>B5+D5</f>
        <v>24.64442446043165</v>
      </c>
      <c r="F5" s="11">
        <f>E5*$E$1</f>
        <v>1947.9938870503593</v>
      </c>
      <c r="G5" s="12">
        <v>1925</v>
      </c>
      <c r="H5" s="13">
        <f>G5-F5</f>
        <v>-22.993887050359263</v>
      </c>
    </row>
    <row r="6" spans="1:9" s="5" customFormat="1" ht="15.75" customHeight="1">
      <c r="A6" s="37" t="s">
        <v>121</v>
      </c>
      <c r="B6" s="45">
        <v>9.55</v>
      </c>
      <c r="C6" s="45">
        <v>70</v>
      </c>
      <c r="D6" s="19">
        <f t="shared" si="0"/>
        <v>0.2014388489208633</v>
      </c>
      <c r="E6" s="19">
        <f>B6+D6</f>
        <v>9.751438848920865</v>
      </c>
      <c r="F6" s="11">
        <f>E6*$E$1</f>
        <v>770.7927323741008</v>
      </c>
      <c r="G6" s="12">
        <f>759+12</f>
        <v>771</v>
      </c>
      <c r="H6" s="13">
        <f>G6-F6</f>
        <v>0.20726762589924874</v>
      </c>
      <c r="I6" s="5" t="s">
        <v>126</v>
      </c>
    </row>
    <row r="7" spans="1:9" s="5" customFormat="1" ht="15.75" customHeight="1">
      <c r="A7" s="37" t="s">
        <v>122</v>
      </c>
      <c r="B7" s="45">
        <v>17.99</v>
      </c>
      <c r="C7" s="45">
        <v>1150</v>
      </c>
      <c r="D7" s="19">
        <f t="shared" si="0"/>
        <v>3.3093525179856114</v>
      </c>
      <c r="E7" s="19">
        <f>B7+D7</f>
        <v>21.29935251798561</v>
      </c>
      <c r="F7" s="11">
        <f>E7*$E$1</f>
        <v>1683.5860204316546</v>
      </c>
      <c r="G7" s="60">
        <f>1670+14</f>
        <v>1684</v>
      </c>
      <c r="H7" s="13">
        <f>G7-F7</f>
        <v>0.4139795683454395</v>
      </c>
      <c r="I7" s="47" t="s">
        <v>127</v>
      </c>
    </row>
    <row r="8" spans="1:8" s="5" customFormat="1" ht="15">
      <c r="A8" s="37" t="s">
        <v>123</v>
      </c>
      <c r="B8" s="45">
        <v>11.65</v>
      </c>
      <c r="C8" s="45">
        <v>450</v>
      </c>
      <c r="D8" s="19">
        <f t="shared" si="0"/>
        <v>1.2949640287769784</v>
      </c>
      <c r="E8" s="19">
        <f>B8+D8</f>
        <v>12.94496402877698</v>
      </c>
      <c r="F8" s="11">
        <f>E8*$E$1</f>
        <v>1023.2217366906475</v>
      </c>
      <c r="G8" s="12">
        <v>969</v>
      </c>
      <c r="H8" s="13">
        <f>G8-F8</f>
        <v>-54.221736690647504</v>
      </c>
    </row>
    <row r="9" spans="1:8" s="5" customFormat="1" ht="15">
      <c r="A9" s="37" t="s">
        <v>10</v>
      </c>
      <c r="B9" s="61"/>
      <c r="C9" s="45">
        <v>3260</v>
      </c>
      <c r="D9" s="19">
        <f t="shared" si="0"/>
        <v>9.381294964028777</v>
      </c>
      <c r="E9" s="20"/>
      <c r="F9" s="15"/>
      <c r="G9" s="15"/>
      <c r="H9" s="15"/>
    </row>
    <row r="10" spans="1:8" s="5" customFormat="1" ht="15">
      <c r="A10" s="16"/>
      <c r="B10" s="21">
        <f>SUM(B4:B9)</f>
        <v>139.515</v>
      </c>
      <c r="C10" s="21">
        <f>SUM(C4:C9)</f>
        <v>5560</v>
      </c>
      <c r="D10" s="21">
        <v>16</v>
      </c>
      <c r="E10" s="20"/>
      <c r="F10" s="15"/>
      <c r="G10" s="15"/>
      <c r="H10" s="1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9:A30"/>
  <sheetViews>
    <sheetView zoomScalePageLayoutView="0" workbookViewId="0" topLeftCell="A1">
      <selection activeCell="A29" sqref="A29:IV30"/>
    </sheetView>
  </sheetViews>
  <sheetFormatPr defaultColWidth="9.140625" defaultRowHeight="15"/>
  <sheetData>
    <row r="29" ht="28.5">
      <c r="A29" s="58" t="s">
        <v>105</v>
      </c>
    </row>
    <row r="30" ht="28.5">
      <c r="A30" s="58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20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41513</v>
      </c>
      <c r="C1" s="2"/>
      <c r="D1" s="3" t="s">
        <v>1</v>
      </c>
      <c r="E1" s="4">
        <v>45.92</v>
      </c>
      <c r="G1" s="5" t="s">
        <v>2</v>
      </c>
    </row>
    <row r="2" s="5" customFormat="1" ht="23.25" customHeight="1">
      <c r="A2" s="6"/>
    </row>
    <row r="3" spans="1:7" s="9" customFormat="1" ht="45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23" t="s">
        <v>16</v>
      </c>
      <c r="B4" s="22">
        <v>0</v>
      </c>
      <c r="C4" s="24">
        <f aca="true" t="shared" si="0" ref="C4:C19">B4/$B$20*$C$20</f>
        <v>0</v>
      </c>
      <c r="D4" s="24">
        <f>B4+C4</f>
        <v>0</v>
      </c>
      <c r="E4" s="25">
        <f>D4*$E$1</f>
        <v>0</v>
      </c>
      <c r="F4" s="26"/>
      <c r="G4" s="27">
        <f>F4-E4</f>
        <v>0</v>
      </c>
    </row>
    <row r="5" spans="1:8" s="5" customFormat="1" ht="15">
      <c r="A5" s="23" t="s">
        <v>18</v>
      </c>
      <c r="B5" s="22">
        <v>0</v>
      </c>
      <c r="C5" s="24">
        <f t="shared" si="0"/>
        <v>0</v>
      </c>
      <c r="D5" s="24">
        <f>B5+C5</f>
        <v>0</v>
      </c>
      <c r="E5" s="25">
        <f>D5*$E$1</f>
        <v>0</v>
      </c>
      <c r="F5" s="26">
        <v>1076</v>
      </c>
      <c r="G5" s="27">
        <f>F5-E5-1076</f>
        <v>0</v>
      </c>
      <c r="H5" s="31" t="s">
        <v>30</v>
      </c>
    </row>
    <row r="6" spans="1:8" s="5" customFormat="1" ht="15">
      <c r="A6" s="23" t="s">
        <v>14</v>
      </c>
      <c r="B6" s="22">
        <v>0</v>
      </c>
      <c r="C6" s="24">
        <f t="shared" si="0"/>
        <v>0</v>
      </c>
      <c r="D6" s="24">
        <f>B6+C6</f>
        <v>0</v>
      </c>
      <c r="E6" s="28">
        <f>D6*$E$1</f>
        <v>0</v>
      </c>
      <c r="F6" s="29">
        <v>206</v>
      </c>
      <c r="G6" s="30">
        <f>F6-E6-2-1-203</f>
        <v>0</v>
      </c>
      <c r="H6" s="31" t="s">
        <v>29</v>
      </c>
    </row>
    <row r="7" spans="1:7" s="5" customFormat="1" ht="15">
      <c r="A7" s="10" t="s">
        <v>17</v>
      </c>
      <c r="B7" s="18">
        <v>21.55</v>
      </c>
      <c r="C7" s="19">
        <f t="shared" si="0"/>
        <v>1.649589596975007</v>
      </c>
      <c r="D7" s="19">
        <f aca="true" t="shared" si="1" ref="D7:D18">B7+C7</f>
        <v>23.19958959697501</v>
      </c>
      <c r="E7" s="11">
        <f aca="true" t="shared" si="2" ref="E7:E18">D7*$E$1</f>
        <v>1065.3251542930925</v>
      </c>
      <c r="F7" s="12">
        <v>1047</v>
      </c>
      <c r="G7" s="13">
        <f aca="true" t="shared" si="3" ref="G7:G18">F7-E7</f>
        <v>-18.32515429309251</v>
      </c>
    </row>
    <row r="8" spans="1:8" s="5" customFormat="1" ht="15">
      <c r="A8" s="10" t="s">
        <v>13</v>
      </c>
      <c r="B8" s="18">
        <v>48.1</v>
      </c>
      <c r="C8" s="19">
        <f t="shared" si="0"/>
        <v>3.6819145992806424</v>
      </c>
      <c r="D8" s="19">
        <f>B8+C8</f>
        <v>51.78191459928065</v>
      </c>
      <c r="E8" s="11">
        <f>D8*$E$1</f>
        <v>2377.8255183989672</v>
      </c>
      <c r="F8" s="12">
        <v>2939</v>
      </c>
      <c r="G8" s="13">
        <f>F8-E8-561</f>
        <v>0.17448160103276678</v>
      </c>
      <c r="H8" s="31" t="s">
        <v>28</v>
      </c>
    </row>
    <row r="9" spans="1:7" s="5" customFormat="1" ht="15">
      <c r="A9" s="10" t="s">
        <v>12</v>
      </c>
      <c r="B9" s="18">
        <v>9.4</v>
      </c>
      <c r="C9" s="19">
        <f t="shared" si="0"/>
        <v>0.7195425620215807</v>
      </c>
      <c r="D9" s="19">
        <f t="shared" si="1"/>
        <v>10.11954256202158</v>
      </c>
      <c r="E9" s="11">
        <f t="shared" si="2"/>
        <v>464.689394448031</v>
      </c>
      <c r="F9" s="12">
        <v>451</v>
      </c>
      <c r="G9" s="13">
        <f t="shared" si="3"/>
        <v>-13.68939444803101</v>
      </c>
    </row>
    <row r="10" spans="1:7" s="5" customFormat="1" ht="15">
      <c r="A10" s="10" t="s">
        <v>15</v>
      </c>
      <c r="B10" s="18">
        <v>5.9</v>
      </c>
      <c r="C10" s="19">
        <f t="shared" si="0"/>
        <v>0.4516277782901411</v>
      </c>
      <c r="D10" s="19">
        <f t="shared" si="1"/>
        <v>6.351627778290141</v>
      </c>
      <c r="E10" s="11">
        <f t="shared" si="2"/>
        <v>291.6667475790833</v>
      </c>
      <c r="F10" s="12">
        <f>283+2+7</f>
        <v>292</v>
      </c>
      <c r="G10" s="13">
        <f t="shared" si="3"/>
        <v>0.3332524209167218</v>
      </c>
    </row>
    <row r="11" spans="1:7" s="5" customFormat="1" ht="15">
      <c r="A11" s="10" t="s">
        <v>19</v>
      </c>
      <c r="B11" s="18">
        <v>27.8</v>
      </c>
      <c r="C11" s="19">
        <f t="shared" si="0"/>
        <v>2.128008853638292</v>
      </c>
      <c r="D11" s="19">
        <f t="shared" si="1"/>
        <v>29.928008853638293</v>
      </c>
      <c r="E11" s="11">
        <f t="shared" si="2"/>
        <v>1374.2941665590704</v>
      </c>
      <c r="F11" s="12">
        <f>1+1342+31</f>
        <v>1374</v>
      </c>
      <c r="G11" s="13">
        <f t="shared" si="3"/>
        <v>-0.2941665590703906</v>
      </c>
    </row>
    <row r="12" spans="1:7" s="5" customFormat="1" ht="15">
      <c r="A12" s="10" t="s">
        <v>20</v>
      </c>
      <c r="B12" s="18">
        <v>42.02</v>
      </c>
      <c r="C12" s="19">
        <f t="shared" si="0"/>
        <v>3.216508346398599</v>
      </c>
      <c r="D12" s="19">
        <f t="shared" si="1"/>
        <v>45.2365083463986</v>
      </c>
      <c r="E12" s="11">
        <f t="shared" si="2"/>
        <v>2077.260463266624</v>
      </c>
      <c r="F12" s="12">
        <f>2030+47</f>
        <v>2077</v>
      </c>
      <c r="G12" s="13">
        <f t="shared" si="3"/>
        <v>-0.2604632666239013</v>
      </c>
    </row>
    <row r="13" spans="1:7" s="5" customFormat="1" ht="15">
      <c r="A13" s="10" t="s">
        <v>21</v>
      </c>
      <c r="B13" s="18">
        <v>26.32</v>
      </c>
      <c r="C13" s="19">
        <f t="shared" si="0"/>
        <v>2.014719173660426</v>
      </c>
      <c r="D13" s="19">
        <f t="shared" si="1"/>
        <v>28.334719173660424</v>
      </c>
      <c r="E13" s="11">
        <f t="shared" si="2"/>
        <v>1301.1303044544868</v>
      </c>
      <c r="F13" s="12">
        <f>1200+72+29</f>
        <v>1301</v>
      </c>
      <c r="G13" s="13">
        <f t="shared" si="3"/>
        <v>-0.1303044544868044</v>
      </c>
    </row>
    <row r="14" spans="1:7" s="5" customFormat="1" ht="15">
      <c r="A14" s="10" t="s">
        <v>22</v>
      </c>
      <c r="B14" s="18">
        <v>1.89</v>
      </c>
      <c r="C14" s="19">
        <f t="shared" si="0"/>
        <v>0.1446739832149774</v>
      </c>
      <c r="D14" s="19">
        <f t="shared" si="1"/>
        <v>2.034673983214977</v>
      </c>
      <c r="E14" s="11">
        <f t="shared" si="2"/>
        <v>93.43222930923176</v>
      </c>
      <c r="F14" s="12">
        <f>91+2</f>
        <v>93</v>
      </c>
      <c r="G14" s="13">
        <f t="shared" si="3"/>
        <v>-0.43222930923175795</v>
      </c>
    </row>
    <row r="15" spans="1:8" s="5" customFormat="1" ht="15">
      <c r="A15" s="10" t="s">
        <v>23</v>
      </c>
      <c r="B15" s="18">
        <v>25.27</v>
      </c>
      <c r="C15" s="19">
        <f t="shared" si="0"/>
        <v>1.9343447385409944</v>
      </c>
      <c r="D15" s="19">
        <f t="shared" si="1"/>
        <v>27.204344738540993</v>
      </c>
      <c r="E15" s="11">
        <f t="shared" si="2"/>
        <v>1249.2235103938024</v>
      </c>
      <c r="F15" s="12">
        <v>1760</v>
      </c>
      <c r="G15" s="13">
        <f>F15-E15-532</f>
        <v>-21.22351039380237</v>
      </c>
      <c r="H15" s="31" t="s">
        <v>27</v>
      </c>
    </row>
    <row r="16" spans="1:7" s="5" customFormat="1" ht="15">
      <c r="A16" s="10" t="s">
        <v>24</v>
      </c>
      <c r="B16" s="18">
        <v>31.56</v>
      </c>
      <c r="C16" s="19">
        <f t="shared" si="0"/>
        <v>2.415825878446924</v>
      </c>
      <c r="D16" s="19">
        <f t="shared" si="1"/>
        <v>33.975825878446926</v>
      </c>
      <c r="E16" s="11">
        <f t="shared" si="2"/>
        <v>1560.169924338283</v>
      </c>
      <c r="F16" s="12">
        <v>1583</v>
      </c>
      <c r="G16" s="13">
        <f t="shared" si="3"/>
        <v>22.830075661717046</v>
      </c>
    </row>
    <row r="17" spans="1:7" s="5" customFormat="1" ht="15">
      <c r="A17" s="10" t="s">
        <v>26</v>
      </c>
      <c r="B17" s="18">
        <v>9.85</v>
      </c>
      <c r="C17" s="19">
        <f t="shared" si="0"/>
        <v>0.7539887485013372</v>
      </c>
      <c r="D17" s="19">
        <f t="shared" si="1"/>
        <v>10.603988748501337</v>
      </c>
      <c r="E17" s="11">
        <f t="shared" si="2"/>
        <v>486.9351633311814</v>
      </c>
      <c r="F17" s="12">
        <v>487</v>
      </c>
      <c r="G17" s="13">
        <f t="shared" si="3"/>
        <v>0.06483666881860017</v>
      </c>
    </row>
    <row r="18" spans="1:7" s="5" customFormat="1" ht="15">
      <c r="A18" s="10" t="s">
        <v>25</v>
      </c>
      <c r="B18" s="18">
        <v>10.62</v>
      </c>
      <c r="C18" s="19">
        <f t="shared" si="0"/>
        <v>0.8129300009222539</v>
      </c>
      <c r="D18" s="19">
        <f t="shared" si="1"/>
        <v>11.432930000922253</v>
      </c>
      <c r="E18" s="11">
        <f t="shared" si="2"/>
        <v>525.0001456423499</v>
      </c>
      <c r="F18" s="12">
        <f>510+15</f>
        <v>525</v>
      </c>
      <c r="G18" s="13">
        <f t="shared" si="3"/>
        <v>-0.00014564234993486025</v>
      </c>
    </row>
    <row r="19" spans="1:7" s="5" customFormat="1" ht="15">
      <c r="A19" s="14" t="s">
        <v>10</v>
      </c>
      <c r="B19" s="18">
        <f>51.44+13.57</f>
        <v>65.00999999999999</v>
      </c>
      <c r="C19" s="19">
        <f t="shared" si="0"/>
        <v>4.976325740108825</v>
      </c>
      <c r="D19" s="20"/>
      <c r="E19" s="15"/>
      <c r="F19" s="15"/>
      <c r="G19" s="15"/>
    </row>
    <row r="20" spans="1:7" s="5" customFormat="1" ht="15">
      <c r="A20" s="16"/>
      <c r="B20" s="21">
        <f>SUM(B4:B19)</f>
        <v>325.28999999999996</v>
      </c>
      <c r="C20" s="21">
        <v>24.9</v>
      </c>
      <c r="D20" s="20"/>
      <c r="E20" s="15"/>
      <c r="F20" s="15"/>
      <c r="G20" s="15"/>
    </row>
    <row r="24" ht="21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2" width="15.57421875" style="0" customWidth="1"/>
  </cols>
  <sheetData>
    <row r="1" spans="1:7" s="5" customFormat="1" ht="21.75" customHeight="1">
      <c r="A1" s="1" t="s">
        <v>0</v>
      </c>
      <c r="B1" s="2">
        <v>41555</v>
      </c>
      <c r="C1" s="2"/>
      <c r="D1" s="3" t="s">
        <v>1</v>
      </c>
      <c r="E1" s="4">
        <v>45.73</v>
      </c>
      <c r="G1" s="5" t="s">
        <v>2</v>
      </c>
    </row>
    <row r="2" s="5" customFormat="1" ht="23.25" customHeight="1">
      <c r="A2" s="6" t="s">
        <v>35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10" t="s">
        <v>18</v>
      </c>
      <c r="B4" s="18">
        <v>8.145</v>
      </c>
      <c r="C4" s="19">
        <f aca="true" t="shared" si="0" ref="C4:C16">B4/$B$17*$C$17</f>
        <v>0.527794982563889</v>
      </c>
      <c r="D4" s="19">
        <f aca="true" t="shared" si="1" ref="D4:D9">B4+C4</f>
        <v>8.67279498256389</v>
      </c>
      <c r="E4" s="11">
        <f aca="true" t="shared" si="2" ref="E4:E9">D4*$E$1</f>
        <v>396.60691455264663</v>
      </c>
      <c r="F4" s="12">
        <v>398</v>
      </c>
      <c r="G4" s="13">
        <f aca="true" t="shared" si="3" ref="G4:G9">F4-E4</f>
        <v>1.3930854473533714</v>
      </c>
    </row>
    <row r="5" spans="1:7" s="5" customFormat="1" ht="15">
      <c r="A5" s="10" t="s">
        <v>22</v>
      </c>
      <c r="B5" s="18">
        <v>21.65</v>
      </c>
      <c r="C5" s="19">
        <f t="shared" si="0"/>
        <v>1.4029172955811169</v>
      </c>
      <c r="D5" s="19">
        <f t="shared" si="1"/>
        <v>23.052917295581114</v>
      </c>
      <c r="E5" s="11">
        <f t="shared" si="2"/>
        <v>1054.2099079269242</v>
      </c>
      <c r="F5" s="12">
        <v>1059</v>
      </c>
      <c r="G5" s="13">
        <f t="shared" si="3"/>
        <v>4.790092073075812</v>
      </c>
    </row>
    <row r="6" spans="1:7" s="5" customFormat="1" ht="15">
      <c r="A6" s="10" t="s">
        <v>23</v>
      </c>
      <c r="B6" s="18">
        <v>18.55</v>
      </c>
      <c r="C6" s="19">
        <f t="shared" si="0"/>
        <v>1.2020376828189248</v>
      </c>
      <c r="D6" s="19">
        <f t="shared" si="1"/>
        <v>19.752037682818926</v>
      </c>
      <c r="E6" s="11">
        <f t="shared" si="2"/>
        <v>903.2606832353094</v>
      </c>
      <c r="F6" s="12">
        <v>907</v>
      </c>
      <c r="G6" s="13">
        <f t="shared" si="3"/>
        <v>3.7393167646905567</v>
      </c>
    </row>
    <row r="7" spans="1:7" s="5" customFormat="1" ht="15">
      <c r="A7" s="10" t="s">
        <v>36</v>
      </c>
      <c r="B7" s="18">
        <v>46.49</v>
      </c>
      <c r="C7" s="19">
        <f t="shared" si="0"/>
        <v>3.0125461926820383</v>
      </c>
      <c r="D7" s="19">
        <f t="shared" si="1"/>
        <v>49.50254619268204</v>
      </c>
      <c r="E7" s="11">
        <f t="shared" si="2"/>
        <v>2263.7514373913496</v>
      </c>
      <c r="F7" s="12">
        <v>2273</v>
      </c>
      <c r="G7" s="13">
        <f t="shared" si="3"/>
        <v>9.248562608650445</v>
      </c>
    </row>
    <row r="8" spans="1:7" s="5" customFormat="1" ht="15">
      <c r="A8" s="10" t="s">
        <v>37</v>
      </c>
      <c r="B8" s="18">
        <v>9.5</v>
      </c>
      <c r="C8" s="19">
        <f t="shared" si="0"/>
        <v>0.6155988133034924</v>
      </c>
      <c r="D8" s="19">
        <f t="shared" si="1"/>
        <v>10.115598813303492</v>
      </c>
      <c r="E8" s="11">
        <f t="shared" si="2"/>
        <v>462.5863337323687</v>
      </c>
      <c r="F8" s="12">
        <v>465</v>
      </c>
      <c r="G8" s="13">
        <f t="shared" si="3"/>
        <v>2.4136662676312994</v>
      </c>
    </row>
    <row r="9" spans="1:7" s="5" customFormat="1" ht="15">
      <c r="A9" s="10" t="s">
        <v>38</v>
      </c>
      <c r="B9" s="18">
        <v>16.6</v>
      </c>
      <c r="C9" s="19">
        <f t="shared" si="0"/>
        <v>1.0756779264039973</v>
      </c>
      <c r="D9" s="19">
        <f t="shared" si="1"/>
        <v>17.675677926404</v>
      </c>
      <c r="E9" s="11">
        <f t="shared" si="2"/>
        <v>808.3087515744548</v>
      </c>
      <c r="F9" s="12">
        <v>812</v>
      </c>
      <c r="G9" s="13">
        <f t="shared" si="3"/>
        <v>3.6912484255451545</v>
      </c>
    </row>
    <row r="10" spans="1:7" s="5" customFormat="1" ht="15">
      <c r="A10" s="10" t="s">
        <v>13</v>
      </c>
      <c r="B10" s="18">
        <v>39.495</v>
      </c>
      <c r="C10" s="19">
        <f t="shared" si="0"/>
        <v>2.5592710664654135</v>
      </c>
      <c r="D10" s="19">
        <f aca="true" t="shared" si="4" ref="D10:D15">B10+C10</f>
        <v>42.05427106646541</v>
      </c>
      <c r="E10" s="11">
        <f aca="true" t="shared" si="5" ref="E10:E15">D10*$E$1</f>
        <v>1923.141815869463</v>
      </c>
      <c r="F10" s="12">
        <f>1193+730</f>
        <v>1923</v>
      </c>
      <c r="G10" s="13">
        <f aca="true" t="shared" si="6" ref="G10:G15">F10-E10</f>
        <v>-0.1418158694630165</v>
      </c>
    </row>
    <row r="11" spans="1:7" s="5" customFormat="1" ht="15">
      <c r="A11" s="10" t="s">
        <v>20</v>
      </c>
      <c r="B11" s="18">
        <v>14.55</v>
      </c>
      <c r="C11" s="19">
        <f t="shared" si="0"/>
        <v>0.942838182480612</v>
      </c>
      <c r="D11" s="19">
        <f t="shared" si="4"/>
        <v>15.492838182480613</v>
      </c>
      <c r="E11" s="11">
        <f t="shared" si="5"/>
        <v>708.4874900848383</v>
      </c>
      <c r="F11" s="12">
        <v>712</v>
      </c>
      <c r="G11" s="13">
        <f t="shared" si="6"/>
        <v>3.5125099151616723</v>
      </c>
    </row>
    <row r="12" spans="1:7" s="5" customFormat="1" ht="15">
      <c r="A12" s="10" t="s">
        <v>26</v>
      </c>
      <c r="B12" s="18">
        <v>33.25</v>
      </c>
      <c r="C12" s="19">
        <f t="shared" si="0"/>
        <v>2.1545958465622235</v>
      </c>
      <c r="D12" s="19">
        <f t="shared" si="4"/>
        <v>35.40459584656222</v>
      </c>
      <c r="E12" s="11">
        <f t="shared" si="5"/>
        <v>1619.0521680632903</v>
      </c>
      <c r="F12" s="12">
        <v>1700</v>
      </c>
      <c r="G12" s="13">
        <f t="shared" si="6"/>
        <v>80.94783193670969</v>
      </c>
    </row>
    <row r="13" spans="1:7" s="5" customFormat="1" ht="15">
      <c r="A13" s="10" t="s">
        <v>39</v>
      </c>
      <c r="B13" s="18">
        <v>53.7</v>
      </c>
      <c r="C13" s="19">
        <f t="shared" si="0"/>
        <v>3.4797532920418464</v>
      </c>
      <c r="D13" s="19">
        <f t="shared" si="4"/>
        <v>57.17975329204185</v>
      </c>
      <c r="E13" s="11">
        <f t="shared" si="5"/>
        <v>2614.8301180450735</v>
      </c>
      <c r="F13" s="12">
        <v>2626</v>
      </c>
      <c r="G13" s="13">
        <f t="shared" si="6"/>
        <v>11.169881954926495</v>
      </c>
    </row>
    <row r="14" spans="1:7" s="5" customFormat="1" ht="15">
      <c r="A14" s="10" t="s">
        <v>40</v>
      </c>
      <c r="B14" s="18">
        <v>29.64</v>
      </c>
      <c r="C14" s="19">
        <f t="shared" si="0"/>
        <v>1.9206682975068963</v>
      </c>
      <c r="D14" s="19">
        <f t="shared" si="4"/>
        <v>31.560668297506897</v>
      </c>
      <c r="E14" s="11">
        <f t="shared" si="5"/>
        <v>1443.2693612449903</v>
      </c>
      <c r="F14" s="12">
        <v>1449</v>
      </c>
      <c r="G14" s="13">
        <f t="shared" si="6"/>
        <v>5.73063875500975</v>
      </c>
    </row>
    <row r="15" spans="1:7" s="5" customFormat="1" ht="15">
      <c r="A15" s="10" t="s">
        <v>41</v>
      </c>
      <c r="B15" s="18">
        <v>21.65</v>
      </c>
      <c r="C15" s="19">
        <f t="shared" si="0"/>
        <v>1.4029172955811169</v>
      </c>
      <c r="D15" s="19">
        <f t="shared" si="4"/>
        <v>23.052917295581114</v>
      </c>
      <c r="E15" s="11">
        <f t="shared" si="5"/>
        <v>1054.2099079269242</v>
      </c>
      <c r="F15" s="12">
        <v>1054</v>
      </c>
      <c r="G15" s="13">
        <f t="shared" si="6"/>
        <v>-0.20990792692418836</v>
      </c>
    </row>
    <row r="16" spans="1:7" s="5" customFormat="1" ht="15">
      <c r="A16" s="14" t="s">
        <v>10</v>
      </c>
      <c r="B16" s="18">
        <v>71.04</v>
      </c>
      <c r="C16" s="19">
        <f t="shared" si="0"/>
        <v>4.603383126008432</v>
      </c>
      <c r="D16" s="20"/>
      <c r="E16" s="15"/>
      <c r="F16" s="15"/>
      <c r="G16" s="15"/>
    </row>
    <row r="17" spans="1:7" s="5" customFormat="1" ht="15">
      <c r="A17" s="16"/>
      <c r="B17" s="21">
        <f>SUM(B4:B16)</f>
        <v>384.26</v>
      </c>
      <c r="C17" s="21">
        <v>24.9</v>
      </c>
      <c r="D17" s="20"/>
      <c r="E17" s="15"/>
      <c r="F17" s="15"/>
      <c r="G17" s="15"/>
    </row>
    <row r="21" ht="31.5">
      <c r="A21" s="17"/>
    </row>
    <row r="22" ht="31.5">
      <c r="A22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8.00390625" style="0" customWidth="1"/>
    <col min="2" max="2" width="17.421875" style="0" customWidth="1"/>
    <col min="3" max="3" width="10.28125" style="0" customWidth="1"/>
    <col min="6" max="6" width="11.28125" style="0" customWidth="1"/>
  </cols>
  <sheetData>
    <row r="1" spans="1:7" s="5" customFormat="1" ht="21.75" customHeight="1">
      <c r="A1" s="1" t="s">
        <v>0</v>
      </c>
      <c r="B1" s="2">
        <v>41591</v>
      </c>
      <c r="C1" s="2"/>
      <c r="D1" s="3" t="s">
        <v>1</v>
      </c>
      <c r="E1" s="4">
        <v>44.92</v>
      </c>
      <c r="G1" s="5" t="s">
        <v>2</v>
      </c>
    </row>
    <row r="2" s="5" customFormat="1" ht="23.25" customHeight="1">
      <c r="A2" s="6" t="s">
        <v>43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10" t="s">
        <v>23</v>
      </c>
      <c r="B4" s="18">
        <v>8.5</v>
      </c>
      <c r="C4" s="19">
        <f aca="true" t="shared" si="0" ref="C4:C12">B4/$B$13*$C$13</f>
        <v>0.928533824690708</v>
      </c>
      <c r="D4" s="19">
        <f aca="true" t="shared" si="1" ref="D4:D11">B4+C4</f>
        <v>9.428533824690708</v>
      </c>
      <c r="E4" s="11">
        <f aca="true" t="shared" si="2" ref="E4:E11">D4*$E$1</f>
        <v>423.5297394051066</v>
      </c>
      <c r="F4" s="12">
        <v>441</v>
      </c>
      <c r="G4" s="13">
        <f aca="true" t="shared" si="3" ref="G4:G11">F4-E4</f>
        <v>17.470260594893375</v>
      </c>
    </row>
    <row r="5" spans="1:7" s="5" customFormat="1" ht="15">
      <c r="A5" s="10" t="s">
        <v>44</v>
      </c>
      <c r="B5" s="18">
        <v>7.65</v>
      </c>
      <c r="C5" s="19">
        <f t="shared" si="0"/>
        <v>0.8356804422216373</v>
      </c>
      <c r="D5" s="19">
        <f t="shared" si="1"/>
        <v>8.485680442221637</v>
      </c>
      <c r="E5" s="11">
        <f t="shared" si="2"/>
        <v>381.176765464596</v>
      </c>
      <c r="F5" s="12">
        <v>381</v>
      </c>
      <c r="G5" s="13">
        <f t="shared" si="3"/>
        <v>-0.17676546459597375</v>
      </c>
    </row>
    <row r="6" spans="1:8" s="5" customFormat="1" ht="15">
      <c r="A6" s="10" t="s">
        <v>17</v>
      </c>
      <c r="B6" s="18">
        <v>12.2</v>
      </c>
      <c r="C6" s="19">
        <f t="shared" si="0"/>
        <v>1.3327191366148985</v>
      </c>
      <c r="D6" s="19">
        <f t="shared" si="1"/>
        <v>13.532719136614897</v>
      </c>
      <c r="E6" s="11">
        <f t="shared" si="2"/>
        <v>607.8897436167412</v>
      </c>
      <c r="F6" s="12">
        <f>556+66</f>
        <v>622</v>
      </c>
      <c r="G6" s="13">
        <f t="shared" si="3"/>
        <v>14.110256383258843</v>
      </c>
      <c r="H6" s="5" t="s">
        <v>58</v>
      </c>
    </row>
    <row r="7" spans="1:7" s="5" customFormat="1" ht="15">
      <c r="A7" s="10" t="s">
        <v>37</v>
      </c>
      <c r="B7" s="18">
        <v>14.58</v>
      </c>
      <c r="C7" s="19">
        <f t="shared" si="0"/>
        <v>1.5927086075282968</v>
      </c>
      <c r="D7" s="19">
        <f t="shared" si="1"/>
        <v>16.172708607528296</v>
      </c>
      <c r="E7" s="11">
        <f t="shared" si="2"/>
        <v>726.478070650171</v>
      </c>
      <c r="F7" s="12">
        <v>720</v>
      </c>
      <c r="G7" s="13">
        <f t="shared" si="3"/>
        <v>-6.478070650171048</v>
      </c>
    </row>
    <row r="8" spans="1:7" s="5" customFormat="1" ht="15">
      <c r="A8" s="10" t="s">
        <v>45</v>
      </c>
      <c r="B8" s="18">
        <v>17.25</v>
      </c>
      <c r="C8" s="19">
        <f t="shared" si="0"/>
        <v>1.884377467754672</v>
      </c>
      <c r="D8" s="19">
        <f t="shared" si="1"/>
        <v>19.13437746775467</v>
      </c>
      <c r="E8" s="11">
        <f t="shared" si="2"/>
        <v>859.5162358515398</v>
      </c>
      <c r="F8" s="12">
        <f>854+6</f>
        <v>860</v>
      </c>
      <c r="G8" s="13">
        <f t="shared" si="3"/>
        <v>0.4837641484601818</v>
      </c>
    </row>
    <row r="9" spans="1:7" s="5" customFormat="1" ht="15">
      <c r="A9" s="10" t="s">
        <v>18</v>
      </c>
      <c r="B9" s="18">
        <v>19.97</v>
      </c>
      <c r="C9" s="19">
        <f t="shared" si="0"/>
        <v>2.1815082916556987</v>
      </c>
      <c r="D9" s="19">
        <f t="shared" si="1"/>
        <v>22.1515082916557</v>
      </c>
      <c r="E9" s="11">
        <f t="shared" si="2"/>
        <v>995.0457524611741</v>
      </c>
      <c r="F9" s="12">
        <v>989</v>
      </c>
      <c r="G9" s="13">
        <f t="shared" si="3"/>
        <v>-6.045752461174061</v>
      </c>
    </row>
    <row r="10" spans="1:7" s="5" customFormat="1" ht="15">
      <c r="A10" s="10" t="s">
        <v>46</v>
      </c>
      <c r="B10" s="18">
        <v>29.25</v>
      </c>
      <c r="C10" s="19">
        <f t="shared" si="0"/>
        <v>3.195248749670966</v>
      </c>
      <c r="D10" s="19">
        <f t="shared" si="1"/>
        <v>32.44524874967097</v>
      </c>
      <c r="E10" s="11">
        <f t="shared" si="2"/>
        <v>1457.4405738352198</v>
      </c>
      <c r="F10" s="12">
        <f>1448+9</f>
        <v>1457</v>
      </c>
      <c r="G10" s="13">
        <f t="shared" si="3"/>
        <v>-0.4405738352197659</v>
      </c>
    </row>
    <row r="11" spans="1:7" s="5" customFormat="1" ht="15">
      <c r="A11" s="10" t="s">
        <v>47</v>
      </c>
      <c r="B11" s="18">
        <v>11.85</v>
      </c>
      <c r="C11" s="19">
        <f t="shared" si="0"/>
        <v>1.2944853908923402</v>
      </c>
      <c r="D11" s="19">
        <f t="shared" si="1"/>
        <v>13.14448539089234</v>
      </c>
      <c r="E11" s="11">
        <f t="shared" si="2"/>
        <v>590.450283758884</v>
      </c>
      <c r="F11" s="12">
        <f>587-3</f>
        <v>584</v>
      </c>
      <c r="G11" s="13">
        <f t="shared" si="3"/>
        <v>-6.450283758883984</v>
      </c>
    </row>
    <row r="12" spans="1:7" s="5" customFormat="1" ht="15">
      <c r="A12" s="14" t="s">
        <v>10</v>
      </c>
      <c r="B12" s="18">
        <v>106.69</v>
      </c>
      <c r="C12" s="19">
        <f t="shared" si="0"/>
        <v>11.654738088970781</v>
      </c>
      <c r="D12" s="20"/>
      <c r="E12" s="15"/>
      <c r="F12" s="15"/>
      <c r="G12" s="15"/>
    </row>
    <row r="13" spans="1:7" s="5" customFormat="1" ht="15">
      <c r="A13" s="16"/>
      <c r="B13" s="21">
        <f>SUM(B4:B12)</f>
        <v>227.94</v>
      </c>
      <c r="C13" s="21">
        <v>24.9</v>
      </c>
      <c r="D13" s="20"/>
      <c r="E13" s="15"/>
      <c r="F13" s="15"/>
      <c r="G13" s="15"/>
    </row>
    <row r="16" ht="26.25">
      <c r="A16" s="44" t="s">
        <v>54</v>
      </c>
    </row>
    <row r="17" spans="1:6" s="40" customFormat="1" ht="31.5">
      <c r="A17" s="40" t="s">
        <v>48</v>
      </c>
      <c r="E17" s="41"/>
      <c r="F17" s="41"/>
    </row>
    <row r="18" spans="1:2" ht="15">
      <c r="A18" s="33"/>
      <c r="B18" s="42" t="s">
        <v>49</v>
      </c>
    </row>
    <row r="19" spans="1:2" ht="15">
      <c r="A19" s="33"/>
      <c r="B19" s="42" t="s">
        <v>50</v>
      </c>
    </row>
    <row r="20" spans="1:2" ht="15">
      <c r="A20" s="33"/>
      <c r="B20" s="42" t="s">
        <v>51</v>
      </c>
    </row>
    <row r="21" spans="1:2" s="40" customFormat="1" ht="31.5">
      <c r="A21" s="40" t="s">
        <v>52</v>
      </c>
      <c r="B21" s="41"/>
    </row>
    <row r="22" spans="1:8" ht="15">
      <c r="A22" s="33"/>
      <c r="B22" s="43" t="s">
        <v>53</v>
      </c>
      <c r="C22" s="33"/>
      <c r="D22" s="33"/>
      <c r="E22" s="5"/>
      <c r="F22" s="5"/>
      <c r="G22" s="5"/>
      <c r="H22" s="5"/>
    </row>
  </sheetData>
  <sheetProtection/>
  <hyperlinks>
    <hyperlink ref="B18" r:id="rId1" display="http://www.purepara.com/fr/deodorants-hommes/1625-lierac-homme-deodorant-roll-on-24h-50ml-3508240212704.html"/>
    <hyperlink ref="B19" r:id="rId2" display="http://www.purepara.com/fr/nettoyants-visage/3081-sanoflore-mousse-d-eau-nettoyante-150ml-3337873400901.html"/>
    <hyperlink ref="B20" r:id="rId3" display="http://www.purepara.com/fr/bebe-et-maman/795-huile-de-massage-vergetures-weleda-100ml-3596204520002.html "/>
    <hyperlink ref="B22" r:id="rId4" display="http://www.purepara.com/en/beaute-et-soins/864-avene-hydrance-optimale-legere-creme-40ml-3282779206303.html"/>
    <hyperlink ref="A21" r:id="rId5" display="An@stasia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57421875" style="0" customWidth="1"/>
    <col min="2" max="2" width="16.8515625" style="0" customWidth="1"/>
  </cols>
  <sheetData>
    <row r="1" spans="1:7" s="5" customFormat="1" ht="21.75" customHeight="1">
      <c r="A1" s="1" t="s">
        <v>0</v>
      </c>
      <c r="B1" s="2">
        <v>41594</v>
      </c>
      <c r="C1" s="2"/>
      <c r="D1" s="3" t="s">
        <v>1</v>
      </c>
      <c r="E1" s="4">
        <v>45.94</v>
      </c>
      <c r="G1" s="5" t="s">
        <v>2</v>
      </c>
    </row>
    <row r="2" s="5" customFormat="1" ht="23.25" customHeight="1">
      <c r="A2" s="6" t="s">
        <v>59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7" t="s">
        <v>60</v>
      </c>
      <c r="B4" s="45">
        <v>25.06</v>
      </c>
      <c r="C4" s="19">
        <f>B4/$B$9*$C$9</f>
        <v>2.5175260227547804</v>
      </c>
      <c r="D4" s="19">
        <f>B4+C4</f>
        <v>27.57752602275478</v>
      </c>
      <c r="E4" s="11">
        <f>D4*$E$1</f>
        <v>1266.9115454853545</v>
      </c>
      <c r="F4" s="12">
        <v>1273</v>
      </c>
      <c r="G4" s="13">
        <f>F4-E4</f>
        <v>6.088454514645491</v>
      </c>
    </row>
    <row r="5" spans="1:7" s="5" customFormat="1" ht="15">
      <c r="A5" s="37" t="s">
        <v>61</v>
      </c>
      <c r="B5" s="36">
        <v>15.25</v>
      </c>
      <c r="C5" s="19">
        <f>B5/$B$9*$C$9</f>
        <v>1.5320140401839748</v>
      </c>
      <c r="D5" s="19">
        <f>B5+C5</f>
        <v>16.782014040183974</v>
      </c>
      <c r="E5" s="11">
        <f>D5*$E$1</f>
        <v>770.9657250060517</v>
      </c>
      <c r="F5" s="12">
        <v>775</v>
      </c>
      <c r="G5" s="13">
        <f>F5-E5</f>
        <v>4.034274993948316</v>
      </c>
    </row>
    <row r="6" spans="1:7" s="5" customFormat="1" ht="15">
      <c r="A6" s="37" t="s">
        <v>13</v>
      </c>
      <c r="B6" s="45">
        <v>51.2</v>
      </c>
      <c r="C6" s="19">
        <f>B6/$B$9*$C$9</f>
        <v>5.143548777535705</v>
      </c>
      <c r="D6" s="19">
        <f>B6+C6</f>
        <v>56.34354877753571</v>
      </c>
      <c r="E6" s="11">
        <f>D6*$E$1</f>
        <v>2588.4226308399902</v>
      </c>
      <c r="F6" s="12">
        <v>2610</v>
      </c>
      <c r="G6" s="13">
        <f>F6-E6</f>
        <v>21.577369160009766</v>
      </c>
    </row>
    <row r="7" spans="1:7" s="5" customFormat="1" ht="15">
      <c r="A7" s="10" t="s">
        <v>41</v>
      </c>
      <c r="B7" s="18">
        <v>79.12</v>
      </c>
      <c r="C7" s="19">
        <f>B7/$B$9*$C$9</f>
        <v>7.948390220285645</v>
      </c>
      <c r="D7" s="19">
        <f>B7+C7</f>
        <v>87.06839022028565</v>
      </c>
      <c r="E7" s="11">
        <f>D7*$E$1</f>
        <v>3999.9218467199225</v>
      </c>
      <c r="F7" s="12">
        <v>4000</v>
      </c>
      <c r="G7" s="13">
        <f>F7-E7</f>
        <v>0.07815328007745848</v>
      </c>
    </row>
    <row r="8" spans="1:7" s="5" customFormat="1" ht="15">
      <c r="A8" s="14" t="s">
        <v>10</v>
      </c>
      <c r="B8" s="18">
        <v>77.23</v>
      </c>
      <c r="C8" s="19">
        <f>B8/$B$9*$C$9</f>
        <v>7.758520939239893</v>
      </c>
      <c r="D8" s="20"/>
      <c r="E8" s="15"/>
      <c r="F8" s="15"/>
      <c r="G8" s="15"/>
    </row>
    <row r="9" spans="1:7" s="5" customFormat="1" ht="15">
      <c r="A9" s="16"/>
      <c r="B9" s="21">
        <f>SUM(B4:B8)</f>
        <v>247.86</v>
      </c>
      <c r="C9" s="21">
        <v>24.9</v>
      </c>
      <c r="D9" s="20"/>
      <c r="E9" s="15"/>
      <c r="F9" s="15"/>
      <c r="G9" s="15"/>
    </row>
    <row r="12" ht="26.25">
      <c r="A12" s="44" t="s">
        <v>54</v>
      </c>
    </row>
    <row r="13" spans="1:6" s="40" customFormat="1" ht="31.5">
      <c r="A13" s="40" t="s">
        <v>13</v>
      </c>
      <c r="E13" s="41"/>
      <c r="F13" s="41"/>
    </row>
    <row r="14" ht="15">
      <c r="A14" s="46" t="s">
        <v>63</v>
      </c>
    </row>
    <row r="29" ht="31.5">
      <c r="A29" s="17" t="s">
        <v>55</v>
      </c>
    </row>
    <row r="30" ht="31.5">
      <c r="A30" s="17" t="s">
        <v>11</v>
      </c>
    </row>
  </sheetData>
  <sheetProtection/>
  <hyperlinks>
    <hyperlink ref="A14" r:id="rId1" display="http://www.purepara.com/en/nettoyants-visage/3081-sanoflore-mousse-d-eau-nettoyante-150ml-3337873400901.htm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6.140625" style="0" customWidth="1"/>
    <col min="2" max="2" width="16.8515625" style="0" customWidth="1"/>
  </cols>
  <sheetData>
    <row r="1" spans="1:7" s="5" customFormat="1" ht="21.75" customHeight="1">
      <c r="A1" s="1" t="s">
        <v>0</v>
      </c>
      <c r="B1" s="2">
        <v>41303</v>
      </c>
      <c r="C1" s="2"/>
      <c r="D1" s="3" t="s">
        <v>1</v>
      </c>
      <c r="E1" s="4">
        <v>49.06</v>
      </c>
      <c r="G1" s="5" t="s">
        <v>2</v>
      </c>
    </row>
    <row r="2" s="5" customFormat="1" ht="23.25" customHeight="1">
      <c r="A2" s="6" t="s">
        <v>64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7" t="s">
        <v>66</v>
      </c>
      <c r="B4" s="45">
        <v>8.98</v>
      </c>
      <c r="C4" s="19">
        <f aca="true" t="shared" si="0" ref="C4:C13">B4/$B$14*$C$14</f>
        <v>1.0229755695855065</v>
      </c>
      <c r="D4" s="19">
        <f aca="true" t="shared" si="1" ref="D4:D12">B4+C4</f>
        <v>10.002975569585507</v>
      </c>
      <c r="E4" s="11">
        <f aca="true" t="shared" si="2" ref="E4:E12">D4*$E$1</f>
        <v>490.745981443865</v>
      </c>
      <c r="F4" s="12">
        <f>482+9</f>
        <v>491</v>
      </c>
      <c r="G4" s="13">
        <f aca="true" t="shared" si="3" ref="G4:G12">F4-E4</f>
        <v>0.25401855613500857</v>
      </c>
    </row>
    <row r="5" spans="1:8" s="5" customFormat="1" ht="15.75" customHeight="1">
      <c r="A5" s="37" t="s">
        <v>48</v>
      </c>
      <c r="B5" s="36">
        <v>12.49</v>
      </c>
      <c r="C5" s="19">
        <f t="shared" si="0"/>
        <v>1.4228245951139171</v>
      </c>
      <c r="D5" s="19">
        <f t="shared" si="1"/>
        <v>13.912824595113918</v>
      </c>
      <c r="E5" s="11">
        <f t="shared" si="2"/>
        <v>682.5631746362889</v>
      </c>
      <c r="F5" s="12">
        <v>670</v>
      </c>
      <c r="G5" s="13">
        <f>F5-E5+13</f>
        <v>0.43682536371113656</v>
      </c>
      <c r="H5" s="47" t="s">
        <v>78</v>
      </c>
    </row>
    <row r="6" spans="1:7" s="5" customFormat="1" ht="15">
      <c r="A6" s="37" t="s">
        <v>13</v>
      </c>
      <c r="B6" s="45">
        <v>10.64</v>
      </c>
      <c r="C6" s="19">
        <f t="shared" si="0"/>
        <v>1.2120779577271479</v>
      </c>
      <c r="D6" s="19">
        <f t="shared" si="1"/>
        <v>11.852077957727149</v>
      </c>
      <c r="E6" s="11">
        <f t="shared" si="2"/>
        <v>581.462944606094</v>
      </c>
      <c r="F6" s="12">
        <f>549+11</f>
        <v>560</v>
      </c>
      <c r="G6" s="13">
        <f t="shared" si="3"/>
        <v>-21.46294460609397</v>
      </c>
    </row>
    <row r="7" spans="1:7" s="5" customFormat="1" ht="15.75" customHeight="1">
      <c r="A7" s="37" t="s">
        <v>36</v>
      </c>
      <c r="B7" s="36">
        <v>10.04</v>
      </c>
      <c r="C7" s="19">
        <f t="shared" si="0"/>
        <v>1.1437276969530605</v>
      </c>
      <c r="D7" s="19">
        <f t="shared" si="1"/>
        <v>11.18372769695306</v>
      </c>
      <c r="E7" s="11">
        <f t="shared" si="2"/>
        <v>548.6736808125171</v>
      </c>
      <c r="F7" s="12">
        <v>539</v>
      </c>
      <c r="G7" s="13">
        <f t="shared" si="3"/>
        <v>-9.673680812517091</v>
      </c>
    </row>
    <row r="8" spans="1:7" s="5" customFormat="1" ht="15">
      <c r="A8" s="37" t="s">
        <v>74</v>
      </c>
      <c r="B8" s="45">
        <v>14.7</v>
      </c>
      <c r="C8" s="19">
        <f t="shared" si="0"/>
        <v>1.6745813889651386</v>
      </c>
      <c r="D8" s="19">
        <f t="shared" si="1"/>
        <v>16.374581388965137</v>
      </c>
      <c r="E8" s="11">
        <f t="shared" si="2"/>
        <v>803.3369629426296</v>
      </c>
      <c r="F8" s="12">
        <v>800</v>
      </c>
      <c r="G8" s="13">
        <f t="shared" si="3"/>
        <v>-3.3369629426296115</v>
      </c>
    </row>
    <row r="9" spans="1:7" s="5" customFormat="1" ht="15">
      <c r="A9" s="37" t="s">
        <v>23</v>
      </c>
      <c r="B9" s="45">
        <v>14.2</v>
      </c>
      <c r="C9" s="19">
        <f t="shared" si="0"/>
        <v>1.617622838320066</v>
      </c>
      <c r="D9" s="19">
        <f t="shared" si="1"/>
        <v>15.817622838320066</v>
      </c>
      <c r="E9" s="11">
        <f t="shared" si="2"/>
        <v>776.0125764479825</v>
      </c>
      <c r="F9" s="12">
        <f>762+15</f>
        <v>777</v>
      </c>
      <c r="G9" s="13">
        <f t="shared" si="3"/>
        <v>0.9874235520175034</v>
      </c>
    </row>
    <row r="10" spans="1:7" s="5" customFormat="1" ht="15">
      <c r="A10" s="37" t="s">
        <v>75</v>
      </c>
      <c r="B10" s="45">
        <v>20.87</v>
      </c>
      <c r="C10" s="19">
        <f t="shared" si="0"/>
        <v>2.3774499039253363</v>
      </c>
      <c r="D10" s="19">
        <f t="shared" si="1"/>
        <v>23.247449903925336</v>
      </c>
      <c r="E10" s="11">
        <f t="shared" si="2"/>
        <v>1140.519892286577</v>
      </c>
      <c r="F10" s="12">
        <f>1120+21</f>
        <v>1141</v>
      </c>
      <c r="G10" s="13">
        <f t="shared" si="3"/>
        <v>0.4801077134229672</v>
      </c>
    </row>
    <row r="11" spans="1:8" s="5" customFormat="1" ht="15">
      <c r="A11" s="37" t="s">
        <v>76</v>
      </c>
      <c r="B11" s="18">
        <v>11.35</v>
      </c>
      <c r="C11" s="19">
        <f t="shared" si="0"/>
        <v>1.2929590996431513</v>
      </c>
      <c r="D11" s="19">
        <f t="shared" si="1"/>
        <v>12.64295909964315</v>
      </c>
      <c r="E11" s="11">
        <f t="shared" si="2"/>
        <v>620.2635734284929</v>
      </c>
      <c r="F11" s="12">
        <f>609-609</f>
        <v>0</v>
      </c>
      <c r="G11" s="13">
        <f>F11-E11+620</f>
        <v>-0.26357342849291854</v>
      </c>
      <c r="H11" s="47" t="s">
        <v>77</v>
      </c>
    </row>
    <row r="12" spans="1:7" s="5" customFormat="1" ht="15">
      <c r="A12" s="37" t="s">
        <v>69</v>
      </c>
      <c r="B12" s="18">
        <v>4.15</v>
      </c>
      <c r="C12" s="19">
        <f t="shared" si="0"/>
        <v>0.4727559703541038</v>
      </c>
      <c r="D12" s="19">
        <f t="shared" si="1"/>
        <v>4.622755970354104</v>
      </c>
      <c r="E12" s="11">
        <f t="shared" si="2"/>
        <v>226.79240790557236</v>
      </c>
      <c r="F12" s="12">
        <v>223</v>
      </c>
      <c r="G12" s="13">
        <f t="shared" si="3"/>
        <v>-3.792407905572361</v>
      </c>
    </row>
    <row r="13" spans="1:7" s="5" customFormat="1" ht="15">
      <c r="A13" s="37" t="s">
        <v>10</v>
      </c>
      <c r="B13" s="18">
        <v>111.16</v>
      </c>
      <c r="C13" s="19">
        <f t="shared" si="0"/>
        <v>12.663024979412572</v>
      </c>
      <c r="D13" s="20"/>
      <c r="E13" s="15"/>
      <c r="F13" s="15"/>
      <c r="G13" s="15"/>
    </row>
    <row r="14" spans="1:7" s="5" customFormat="1" ht="15">
      <c r="A14" s="16"/>
      <c r="B14" s="21">
        <f>SUM(B4:B13)</f>
        <v>218.57999999999998</v>
      </c>
      <c r="C14" s="21">
        <v>24.9</v>
      </c>
      <c r="D14" s="20"/>
      <c r="E14" s="15"/>
      <c r="F14" s="15"/>
      <c r="G14" s="15"/>
    </row>
    <row r="19" ht="26.25">
      <c r="A19" s="44" t="s">
        <v>54</v>
      </c>
    </row>
    <row r="20" spans="1:6" s="40" customFormat="1" ht="31.5">
      <c r="A20" s="40" t="s">
        <v>48</v>
      </c>
      <c r="E20" s="41"/>
      <c r="F20" s="41"/>
    </row>
    <row r="21" ht="15">
      <c r="A21" s="42" t="s">
        <v>65</v>
      </c>
    </row>
    <row r="22" spans="1:5" s="40" customFormat="1" ht="31.5">
      <c r="A22" s="40" t="s">
        <v>66</v>
      </c>
      <c r="E22" s="41"/>
    </row>
    <row r="23" ht="15">
      <c r="A23" s="42" t="s">
        <v>67</v>
      </c>
    </row>
    <row r="24" ht="15">
      <c r="A24" s="42" t="s">
        <v>68</v>
      </c>
    </row>
    <row r="25" spans="1:6" s="40" customFormat="1" ht="31.5">
      <c r="A25" s="40" t="s">
        <v>36</v>
      </c>
      <c r="E25" s="41"/>
      <c r="F25" s="41"/>
    </row>
    <row r="26" ht="15">
      <c r="A26" s="42" t="s">
        <v>70</v>
      </c>
    </row>
    <row r="27" ht="15">
      <c r="A27" s="42" t="s">
        <v>71</v>
      </c>
    </row>
    <row r="28" ht="15">
      <c r="A28" s="42" t="s">
        <v>72</v>
      </c>
    </row>
    <row r="29" spans="1:6" s="40" customFormat="1" ht="31.5">
      <c r="A29" s="40" t="s">
        <v>69</v>
      </c>
      <c r="E29" s="41"/>
      <c r="F29" s="41"/>
    </row>
    <row r="30" ht="15">
      <c r="A30" s="42" t="s">
        <v>73</v>
      </c>
    </row>
  </sheetData>
  <sheetProtection/>
  <hyperlinks>
    <hyperlink ref="A21" r:id="rId1" display="http://www.purepara.com/en/deodorants-hommes/1625-lierac-homme-deodorant-roll-on-50ml-3508240212704.html"/>
    <hyperlink ref="A23" r:id="rId2" display="http://www.purepara.com/en/beaute-et-soins/684-avene-cleanance-lotion-200ml-3282779041966.html"/>
    <hyperlink ref="A24" r:id="rId3" display="http://www.purepara.com/en/beaute-et-soins/1232-avene-clean-ac-creme-lavante-200ml-3282779222600.html"/>
    <hyperlink ref="A29" display="janechka"/>
    <hyperlink ref="A27" r:id="rId4" display="http://www.purepara.com/en/cremes/2906-avene-solaire-50spf-creme-minerale-50ml-3282779355773.html"/>
    <hyperlink ref="A26" r:id="rId5" display="http://www.purepara.com/en/bioderma/24462-product-3401326300473.html "/>
    <hyperlink ref="A28" r:id="rId6" display="http://www.purepara.com/en/nettoyants-corps/1754-bioderma-atoderm-gel-douche-1l-3401399372926.html"/>
    <hyperlink ref="A30" r:id="rId7" display="http://www.purepara.com/en/beaute-et-soins/845-lrp-effaclar-k-30ml-3337872412233.html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0" customWidth="1"/>
    <col min="2" max="2" width="15.8515625" style="0" customWidth="1"/>
    <col min="3" max="3" width="13.00390625" style="0" customWidth="1"/>
    <col min="5" max="5" width="10.8515625" style="0" customWidth="1"/>
  </cols>
  <sheetData>
    <row r="1" spans="1:7" s="5" customFormat="1" ht="21.75" customHeight="1">
      <c r="A1" s="1" t="s">
        <v>0</v>
      </c>
      <c r="B1" s="2">
        <v>41346</v>
      </c>
      <c r="C1" s="2"/>
      <c r="D1" s="3" t="s">
        <v>1</v>
      </c>
      <c r="E1" s="4">
        <v>52.05</v>
      </c>
      <c r="G1" s="5" t="s">
        <v>2</v>
      </c>
    </row>
    <row r="2" s="5" customFormat="1" ht="23.25" customHeight="1">
      <c r="A2" s="6" t="s">
        <v>79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7" t="s">
        <v>18</v>
      </c>
      <c r="B4" s="45">
        <v>9.85</v>
      </c>
      <c r="C4" s="19">
        <f>B4/$B$14*$C$14</f>
        <v>1.178084304318026</v>
      </c>
      <c r="D4" s="19">
        <f>B4+C4</f>
        <v>11.028084304318025</v>
      </c>
      <c r="E4" s="11">
        <f>D4*$E$1</f>
        <v>574.0117880397531</v>
      </c>
      <c r="F4" s="12">
        <f>572+2</f>
        <v>574</v>
      </c>
      <c r="G4" s="13">
        <f>F4-E4</f>
        <v>-0.011788039753128032</v>
      </c>
    </row>
    <row r="5" spans="1:8" s="5" customFormat="1" ht="15.75" customHeight="1">
      <c r="A5" s="37" t="s">
        <v>66</v>
      </c>
      <c r="B5" s="36">
        <v>17.78</v>
      </c>
      <c r="C5" s="19">
        <f aca="true" t="shared" si="0" ref="C5:C13">B5/$B$14*$C$14</f>
        <v>2.1265318711446195</v>
      </c>
      <c r="D5" s="19">
        <f aca="true" t="shared" si="1" ref="D5:D12">B5+C5</f>
        <v>19.906531871144622</v>
      </c>
      <c r="E5" s="11">
        <f aca="true" t="shared" si="2" ref="E5:E12">D5*$E$1</f>
        <v>1036.1349838930776</v>
      </c>
      <c r="F5" s="12">
        <f>1032+4</f>
        <v>1036</v>
      </c>
      <c r="G5" s="13">
        <f aca="true" t="shared" si="3" ref="G5:G12">F5-E5</f>
        <v>-0.13498389307756042</v>
      </c>
      <c r="H5" s="47"/>
    </row>
    <row r="6" spans="1:7" s="5" customFormat="1" ht="15">
      <c r="A6" s="37" t="s">
        <v>80</v>
      </c>
      <c r="B6" s="45">
        <v>13.5</v>
      </c>
      <c r="C6" s="19">
        <f t="shared" si="0"/>
        <v>1.6146333104866346</v>
      </c>
      <c r="D6" s="19">
        <f t="shared" si="1"/>
        <v>15.114633310486635</v>
      </c>
      <c r="E6" s="11">
        <f t="shared" si="2"/>
        <v>786.7166638108293</v>
      </c>
      <c r="F6" s="12">
        <v>783</v>
      </c>
      <c r="G6" s="13">
        <f t="shared" si="3"/>
        <v>-3.7166638108293455</v>
      </c>
    </row>
    <row r="7" spans="1:7" s="5" customFormat="1" ht="15.75" customHeight="1">
      <c r="A7" s="37" t="s">
        <v>81</v>
      </c>
      <c r="B7" s="36">
        <v>35.71</v>
      </c>
      <c r="C7" s="19">
        <f t="shared" si="0"/>
        <v>4.271004112405757</v>
      </c>
      <c r="D7" s="19">
        <f t="shared" si="1"/>
        <v>39.981004112405756</v>
      </c>
      <c r="E7" s="11">
        <f t="shared" si="2"/>
        <v>2081.0112640507195</v>
      </c>
      <c r="F7" s="12">
        <f>2072+9</f>
        <v>2081</v>
      </c>
      <c r="G7" s="13">
        <f t="shared" si="3"/>
        <v>-0.011264050719546503</v>
      </c>
    </row>
    <row r="8" spans="1:7" s="5" customFormat="1" ht="15">
      <c r="A8" s="37" t="s">
        <v>82</v>
      </c>
      <c r="B8" s="45">
        <v>3.28</v>
      </c>
      <c r="C8" s="19">
        <f t="shared" si="0"/>
        <v>0.39229609321453046</v>
      </c>
      <c r="D8" s="19">
        <f t="shared" si="1"/>
        <v>3.67229609321453</v>
      </c>
      <c r="E8" s="11">
        <f t="shared" si="2"/>
        <v>191.1430116518163</v>
      </c>
      <c r="F8" s="12">
        <v>190</v>
      </c>
      <c r="G8" s="13">
        <f t="shared" si="3"/>
        <v>-1.1430116518162947</v>
      </c>
    </row>
    <row r="9" spans="1:8" s="5" customFormat="1" ht="15">
      <c r="A9" s="37" t="s">
        <v>26</v>
      </c>
      <c r="B9" s="45">
        <v>15.35</v>
      </c>
      <c r="C9" s="19">
        <f t="shared" si="0"/>
        <v>1.835897875257025</v>
      </c>
      <c r="D9" s="19">
        <f t="shared" si="1"/>
        <v>17.185897875257023</v>
      </c>
      <c r="E9" s="11">
        <f t="shared" si="2"/>
        <v>894.525984407128</v>
      </c>
      <c r="F9" s="12">
        <f>173+600+41</f>
        <v>814</v>
      </c>
      <c r="G9" s="13">
        <f t="shared" si="3"/>
        <v>-80.52598440712802</v>
      </c>
      <c r="H9" s="5" t="s">
        <v>89</v>
      </c>
    </row>
    <row r="10" spans="1:7" s="5" customFormat="1" ht="15">
      <c r="A10" s="37" t="s">
        <v>36</v>
      </c>
      <c r="B10" s="45">
        <v>26.09</v>
      </c>
      <c r="C10" s="19">
        <f t="shared" si="0"/>
        <v>3.1204283755997255</v>
      </c>
      <c r="D10" s="19">
        <f t="shared" si="1"/>
        <v>29.210428375599726</v>
      </c>
      <c r="E10" s="11">
        <f t="shared" si="2"/>
        <v>1520.4027969499657</v>
      </c>
      <c r="F10" s="12">
        <v>1514</v>
      </c>
      <c r="G10" s="13">
        <f t="shared" si="3"/>
        <v>-6.402796949965705</v>
      </c>
    </row>
    <row r="11" spans="1:8" s="5" customFormat="1" ht="15">
      <c r="A11" s="37" t="s">
        <v>83</v>
      </c>
      <c r="B11" s="18">
        <v>42.52</v>
      </c>
      <c r="C11" s="19">
        <f t="shared" si="0"/>
        <v>5.085496915695682</v>
      </c>
      <c r="D11" s="19">
        <f t="shared" si="1"/>
        <v>47.60549691569568</v>
      </c>
      <c r="E11" s="11">
        <f t="shared" si="2"/>
        <v>2477.86611446196</v>
      </c>
      <c r="F11" s="12">
        <v>2467</v>
      </c>
      <c r="G11" s="13">
        <f t="shared" si="3"/>
        <v>-10.866114461960024</v>
      </c>
      <c r="H11" s="47"/>
    </row>
    <row r="12" spans="1:7" s="5" customFormat="1" ht="15">
      <c r="A12" s="37" t="s">
        <v>84</v>
      </c>
      <c r="B12" s="18">
        <v>25.55</v>
      </c>
      <c r="C12" s="19">
        <f t="shared" si="0"/>
        <v>3.05584304318026</v>
      </c>
      <c r="D12" s="19">
        <f t="shared" si="1"/>
        <v>28.60584304318026</v>
      </c>
      <c r="E12" s="11">
        <f t="shared" si="2"/>
        <v>1488.9341303975325</v>
      </c>
      <c r="F12" s="12">
        <f>1483+6</f>
        <v>1489</v>
      </c>
      <c r="G12" s="13">
        <f t="shared" si="3"/>
        <v>0.06586960246750095</v>
      </c>
    </row>
    <row r="13" spans="1:7" s="5" customFormat="1" ht="15">
      <c r="A13" s="37" t="s">
        <v>10</v>
      </c>
      <c r="B13" s="18">
        <v>102.17</v>
      </c>
      <c r="C13" s="19">
        <f t="shared" si="0"/>
        <v>12.219784098697737</v>
      </c>
      <c r="D13" s="20"/>
      <c r="E13" s="15"/>
      <c r="F13" s="15"/>
      <c r="G13" s="15"/>
    </row>
    <row r="14" spans="1:7" s="5" customFormat="1" ht="15">
      <c r="A14" s="16"/>
      <c r="B14" s="21">
        <f>SUM(B4:B13)</f>
        <v>291.8</v>
      </c>
      <c r="C14" s="21">
        <v>34.9</v>
      </c>
      <c r="D14" s="20"/>
      <c r="E14" s="15"/>
      <c r="F14" s="15"/>
      <c r="G14" s="15"/>
    </row>
    <row r="15" ht="15">
      <c r="C15" s="49"/>
    </row>
    <row r="16" ht="26.25">
      <c r="A16" s="44" t="s">
        <v>54</v>
      </c>
    </row>
    <row r="17" spans="1:6" s="40" customFormat="1" ht="31.5">
      <c r="A17" s="40" t="s">
        <v>84</v>
      </c>
      <c r="E17" s="41"/>
      <c r="F17" s="41"/>
    </row>
    <row r="18" ht="15">
      <c r="A18" s="48" t="s">
        <v>85</v>
      </c>
    </row>
    <row r="21" ht="31.5">
      <c r="A21" s="17" t="s">
        <v>86</v>
      </c>
    </row>
    <row r="22" ht="31.5">
      <c r="A22" s="17" t="s">
        <v>11</v>
      </c>
    </row>
  </sheetData>
  <sheetProtection/>
  <hyperlinks>
    <hyperlink ref="A18" r:id="rId1" display="http://www.purepara.com/en/beaute-et-soins/687-avene-cleanace-k-40ml-3282779042901.htm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2"/>
    </sheetView>
  </sheetViews>
  <sheetFormatPr defaultColWidth="9.140625" defaultRowHeight="15"/>
  <cols>
    <col min="1" max="1" width="17.00390625" style="0" customWidth="1"/>
    <col min="2" max="2" width="15.8515625" style="0" customWidth="1"/>
    <col min="3" max="3" width="13.00390625" style="0" customWidth="1"/>
    <col min="5" max="5" width="10.8515625" style="0" customWidth="1"/>
    <col min="6" max="7" width="13.421875" style="0" customWidth="1"/>
  </cols>
  <sheetData>
    <row r="1" spans="1:7" s="5" customFormat="1" ht="21.75" customHeight="1">
      <c r="A1" s="1" t="s">
        <v>0</v>
      </c>
      <c r="B1" s="2">
        <v>41772</v>
      </c>
      <c r="C1" s="2"/>
      <c r="D1" s="3" t="s">
        <v>1</v>
      </c>
      <c r="E1" s="4">
        <v>49.58</v>
      </c>
      <c r="G1" s="5" t="s">
        <v>2</v>
      </c>
    </row>
    <row r="2" s="5" customFormat="1" ht="23.25" customHeight="1">
      <c r="A2" s="6" t="s">
        <v>92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7" t="s">
        <v>18</v>
      </c>
      <c r="B4" s="45">
        <v>23.36</v>
      </c>
      <c r="C4" s="19">
        <f aca="true" t="shared" si="0" ref="C4:C9">B4/$B$10*$C$10</f>
        <v>2.3499655093124856</v>
      </c>
      <c r="D4" s="19">
        <f>B4+C4</f>
        <v>25.709965509312486</v>
      </c>
      <c r="E4" s="11">
        <f>D4*$E$1</f>
        <v>1274.700089951713</v>
      </c>
      <c r="F4" s="12">
        <v>1271</v>
      </c>
      <c r="G4" s="13">
        <f>F4-E4</f>
        <v>-3.7000899517129255</v>
      </c>
    </row>
    <row r="5" spans="1:8" s="5" customFormat="1" ht="15.75" customHeight="1">
      <c r="A5" s="37" t="s">
        <v>93</v>
      </c>
      <c r="B5" s="36">
        <v>54.2</v>
      </c>
      <c r="C5" s="19">
        <f t="shared" si="0"/>
        <v>5.452402851230168</v>
      </c>
      <c r="D5" s="19">
        <f>B5+C5</f>
        <v>59.65240285123017</v>
      </c>
      <c r="E5" s="11">
        <f>D5*$E$1</f>
        <v>2957.566133363992</v>
      </c>
      <c r="F5" s="12">
        <v>2950</v>
      </c>
      <c r="G5" s="13">
        <f>F5-E5</f>
        <v>-7.566133363991867</v>
      </c>
      <c r="H5" s="47"/>
    </row>
    <row r="6" spans="1:7" s="5" customFormat="1" ht="15">
      <c r="A6" s="37" t="s">
        <v>13</v>
      </c>
      <c r="B6" s="34">
        <v>5.35</v>
      </c>
      <c r="C6" s="19">
        <f t="shared" si="0"/>
        <v>0.538198436422166</v>
      </c>
      <c r="D6" s="19">
        <f>B6+C6</f>
        <v>5.888198436422166</v>
      </c>
      <c r="E6" s="11">
        <f>D6*$E$1</f>
        <v>291.936878477811</v>
      </c>
      <c r="F6" s="12">
        <v>291</v>
      </c>
      <c r="G6" s="13">
        <f>F6-E6</f>
        <v>-0.9368784778109784</v>
      </c>
    </row>
    <row r="7" spans="1:7" s="5" customFormat="1" ht="15.75" customHeight="1">
      <c r="A7" s="37" t="s">
        <v>94</v>
      </c>
      <c r="B7" s="36">
        <v>1.9</v>
      </c>
      <c r="C7" s="19">
        <f t="shared" si="0"/>
        <v>0.19113589330880662</v>
      </c>
      <c r="D7" s="19">
        <f>B7+C7</f>
        <v>2.0911358933088064</v>
      </c>
      <c r="E7" s="11">
        <f>D7*$E$1</f>
        <v>103.67851759025062</v>
      </c>
      <c r="F7" s="12">
        <f>103+1</f>
        <v>104</v>
      </c>
      <c r="G7" s="13">
        <f>F7-E7</f>
        <v>0.3214824097493789</v>
      </c>
    </row>
    <row r="8" spans="1:7" s="5" customFormat="1" ht="15">
      <c r="A8" s="37" t="s">
        <v>95</v>
      </c>
      <c r="B8" s="12">
        <v>9.55</v>
      </c>
      <c r="C8" s="19">
        <f t="shared" si="0"/>
        <v>0.9607093584732124</v>
      </c>
      <c r="D8" s="19">
        <f>B8+C8</f>
        <v>10.510709358473212</v>
      </c>
      <c r="E8" s="11">
        <f>D8*$E$1</f>
        <v>521.1209699931019</v>
      </c>
      <c r="F8" s="12">
        <v>520</v>
      </c>
      <c r="G8" s="13">
        <f>F8-E8</f>
        <v>-1.1209699931018804</v>
      </c>
    </row>
    <row r="9" spans="1:7" s="5" customFormat="1" ht="15">
      <c r="A9" s="37" t="s">
        <v>10</v>
      </c>
      <c r="B9" s="18">
        <v>79.6</v>
      </c>
      <c r="C9" s="19">
        <f t="shared" si="0"/>
        <v>8.007587951253162</v>
      </c>
      <c r="D9" s="20"/>
      <c r="E9" s="15"/>
      <c r="F9" s="15"/>
      <c r="G9" s="15"/>
    </row>
    <row r="10" spans="1:7" s="5" customFormat="1" ht="15">
      <c r="A10" s="16"/>
      <c r="B10" s="21">
        <f>SUM(B4:B9)</f>
        <v>173.95999999999998</v>
      </c>
      <c r="C10" s="21">
        <v>17.5</v>
      </c>
      <c r="D10" s="20"/>
      <c r="E10" s="15"/>
      <c r="F10" s="15"/>
      <c r="G10" s="15"/>
    </row>
    <row r="11" ht="24.75" customHeight="1"/>
    <row r="12" ht="26.25">
      <c r="A12" s="44" t="s">
        <v>54</v>
      </c>
    </row>
    <row r="13" spans="1:6" s="40" customFormat="1" ht="31.5">
      <c r="A13" s="40" t="s">
        <v>13</v>
      </c>
      <c r="E13" s="41"/>
      <c r="F13" s="41"/>
    </row>
    <row r="14" ht="15">
      <c r="A14" s="46" t="s">
        <v>91</v>
      </c>
    </row>
  </sheetData>
  <sheetProtection/>
  <hyperlinks>
    <hyperlink ref="A14" r:id="rId1" display="http://www.purepara.com/en/beaute-et-soins/400-crealine-h2o-solution-micellaire-ss-parfum-2x250ml-3401525599067.htm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21.421875" style="0" customWidth="1"/>
    <col min="2" max="2" width="17.8515625" style="0" customWidth="1"/>
  </cols>
  <sheetData>
    <row r="1" spans="1:7" s="5" customFormat="1" ht="21.75" customHeight="1">
      <c r="A1" s="1" t="s">
        <v>0</v>
      </c>
      <c r="B1" s="2">
        <v>41826</v>
      </c>
      <c r="C1" s="2"/>
      <c r="D1" s="3" t="s">
        <v>1</v>
      </c>
      <c r="E1" s="4">
        <v>47.66</v>
      </c>
      <c r="G1" s="5" t="s">
        <v>2</v>
      </c>
    </row>
    <row r="2" s="5" customFormat="1" ht="23.25" customHeight="1">
      <c r="A2" s="6"/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8" s="5" customFormat="1" ht="15">
      <c r="A4" s="37" t="s">
        <v>96</v>
      </c>
      <c r="B4" s="45">
        <f>11.45-2</f>
        <v>9.45</v>
      </c>
      <c r="C4" s="19">
        <v>1.12</v>
      </c>
      <c r="D4" s="19">
        <f aca="true" t="shared" si="0" ref="D4:D11">B4+C4</f>
        <v>10.57</v>
      </c>
      <c r="E4" s="11">
        <f aca="true" t="shared" si="1" ref="E4:E11">D4*$E$1</f>
        <v>503.76619999999997</v>
      </c>
      <c r="F4" s="12">
        <f>593-89</f>
        <v>504</v>
      </c>
      <c r="G4" s="13">
        <f aca="true" t="shared" si="2" ref="G4:G11">F4-E4</f>
        <v>0.23380000000003065</v>
      </c>
      <c r="H4" s="47" t="s">
        <v>104</v>
      </c>
    </row>
    <row r="5" spans="1:8" s="5" customFormat="1" ht="15.75" customHeight="1">
      <c r="A5" s="37" t="s">
        <v>97</v>
      </c>
      <c r="B5" s="36">
        <v>9.99</v>
      </c>
      <c r="C5" s="19">
        <f aca="true" t="shared" si="3" ref="C5:C12">B5/$B$13*$C$13</f>
        <v>0.9850960725756465</v>
      </c>
      <c r="D5" s="19">
        <f t="shared" si="0"/>
        <v>10.975096072575647</v>
      </c>
      <c r="E5" s="11">
        <f t="shared" si="1"/>
        <v>523.0730788189553</v>
      </c>
      <c r="F5" s="12">
        <f>320+198</f>
        <v>518</v>
      </c>
      <c r="G5" s="13">
        <f t="shared" si="2"/>
        <v>-5.0730788189553095</v>
      </c>
      <c r="H5" s="47" t="s">
        <v>103</v>
      </c>
    </row>
    <row r="6" spans="1:7" s="5" customFormat="1" ht="15">
      <c r="A6" s="37" t="s">
        <v>98</v>
      </c>
      <c r="B6" s="45">
        <v>35.19</v>
      </c>
      <c r="C6" s="19">
        <f t="shared" si="3"/>
        <v>3.470023102496196</v>
      </c>
      <c r="D6" s="19">
        <f t="shared" si="0"/>
        <v>38.6600231024962</v>
      </c>
      <c r="E6" s="11">
        <f t="shared" si="1"/>
        <v>1842.5367010649686</v>
      </c>
      <c r="F6" s="12">
        <f>1500+328+13</f>
        <v>1841</v>
      </c>
      <c r="G6" s="13">
        <f t="shared" si="2"/>
        <v>-1.5367010649686108</v>
      </c>
    </row>
    <row r="7" spans="1:7" s="5" customFormat="1" ht="15.75" customHeight="1">
      <c r="A7" s="37" t="s">
        <v>99</v>
      </c>
      <c r="B7" s="45">
        <v>9.45</v>
      </c>
      <c r="C7" s="19">
        <f t="shared" si="3"/>
        <v>0.931847636220206</v>
      </c>
      <c r="D7" s="19">
        <f t="shared" si="0"/>
        <v>10.381847636220206</v>
      </c>
      <c r="E7" s="11">
        <f t="shared" si="1"/>
        <v>494.79885834225496</v>
      </c>
      <c r="F7" s="12">
        <v>490</v>
      </c>
      <c r="G7" s="13">
        <f t="shared" si="2"/>
        <v>-4.7988583422549596</v>
      </c>
    </row>
    <row r="8" spans="1:8" s="5" customFormat="1" ht="15.75" customHeight="1">
      <c r="A8" s="37" t="s">
        <v>100</v>
      </c>
      <c r="B8" s="45">
        <v>2.65</v>
      </c>
      <c r="C8" s="19">
        <f>B8/$B$13*$C$13</f>
        <v>0.26131177100354985</v>
      </c>
      <c r="D8" s="19">
        <f t="shared" si="0"/>
        <v>2.91131177100355</v>
      </c>
      <c r="E8" s="11">
        <f t="shared" si="1"/>
        <v>138.75311900602918</v>
      </c>
      <c r="F8" s="12">
        <f>30+107</f>
        <v>137</v>
      </c>
      <c r="G8" s="13">
        <f t="shared" si="2"/>
        <v>-1.7531190060291806</v>
      </c>
      <c r="H8" s="47"/>
    </row>
    <row r="9" spans="1:7" s="5" customFormat="1" ht="15">
      <c r="A9" s="37" t="s">
        <v>101</v>
      </c>
      <c r="B9" s="45">
        <v>6.28</v>
      </c>
      <c r="C9" s="19">
        <f>B9/$B$13*$C$13</f>
        <v>0.6192595931706767</v>
      </c>
      <c r="D9" s="19">
        <f t="shared" si="0"/>
        <v>6.899259593170677</v>
      </c>
      <c r="E9" s="11">
        <f t="shared" si="1"/>
        <v>328.81871221051443</v>
      </c>
      <c r="F9" s="12">
        <v>328</v>
      </c>
      <c r="G9" s="13">
        <f t="shared" si="2"/>
        <v>-0.818712210514434</v>
      </c>
    </row>
    <row r="10" spans="1:7" s="5" customFormat="1" ht="15.75" customHeight="1">
      <c r="A10" s="37" t="s">
        <v>20</v>
      </c>
      <c r="B10" s="45">
        <v>44.99</v>
      </c>
      <c r="C10" s="19">
        <f>B10/$B$13*$C$13</f>
        <v>4.436383614131966</v>
      </c>
      <c r="D10" s="19">
        <f t="shared" si="0"/>
        <v>49.426383614131964</v>
      </c>
      <c r="E10" s="11">
        <f t="shared" si="1"/>
        <v>2355.661443049529</v>
      </c>
      <c r="F10" s="12">
        <f>2328+28</f>
        <v>2356</v>
      </c>
      <c r="G10" s="13">
        <f t="shared" si="2"/>
        <v>0.3385569504707746</v>
      </c>
    </row>
    <row r="11" spans="1:7" s="5" customFormat="1" ht="15">
      <c r="A11" s="37" t="s">
        <v>102</v>
      </c>
      <c r="B11" s="45">
        <v>11.9</v>
      </c>
      <c r="C11" s="19">
        <f t="shared" si="3"/>
        <v>1.1734377641291485</v>
      </c>
      <c r="D11" s="19">
        <f t="shared" si="0"/>
        <v>13.07343776412915</v>
      </c>
      <c r="E11" s="11">
        <f t="shared" si="1"/>
        <v>623.0800438383952</v>
      </c>
      <c r="F11" s="12">
        <v>617</v>
      </c>
      <c r="G11" s="13">
        <f t="shared" si="2"/>
        <v>-6.080043838395227</v>
      </c>
    </row>
    <row r="12" spans="1:7" s="5" customFormat="1" ht="15">
      <c r="A12" s="37" t="s">
        <v>10</v>
      </c>
      <c r="B12" s="45">
        <f>41.95-18.7+24.32</f>
        <v>47.57000000000001</v>
      </c>
      <c r="C12" s="19">
        <f t="shared" si="3"/>
        <v>4.690792810052403</v>
      </c>
      <c r="D12" s="20"/>
      <c r="E12" s="15"/>
      <c r="F12" s="15"/>
      <c r="G12" s="15"/>
    </row>
    <row r="13" spans="1:7" s="5" customFormat="1" ht="15">
      <c r="A13" s="16"/>
      <c r="B13" s="21">
        <f>SUM(B4:B12)</f>
        <v>177.47000000000003</v>
      </c>
      <c r="C13" s="21">
        <v>17.5</v>
      </c>
      <c r="D13" s="20"/>
      <c r="E13" s="15"/>
      <c r="F13" s="15"/>
      <c r="G13" s="15"/>
    </row>
    <row r="14" ht="24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2016-05-07T16:00:52Z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