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<sst xmlns="http://schemas.openxmlformats.org/spreadsheetml/2006/main" count="68" uniqueCount="68">
  <si>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ник</t>
  </si>
  <si>
    <t>сдано</t>
  </si>
  <si>
    <t>Цена товара</t>
  </si>
  <si>
    <t>Цена за доставку товара</t>
  </si>
  <si>
    <t>сумма с ОРГ 100 %</t>
  </si>
  <si>
    <t>сумма с ОРГ 50 %</t>
  </si>
  <si>
    <t>Вес товара</t>
  </si>
  <si>
    <t>Sveta20@ngs.ru</t>
  </si>
  <si>
    <t>Василиночка</t>
  </si>
  <si>
    <t>Ola</t>
  </si>
  <si>
    <t>3y6ape8a_2002</t>
  </si>
  <si>
    <t>natibest</t>
  </si>
  <si>
    <t>Ирина2609</t>
  </si>
  <si>
    <t>camomile12</t>
  </si>
  <si>
    <t>rinka78</t>
  </si>
  <si>
    <t>Олеся181204</t>
  </si>
  <si>
    <t>anirax</t>
  </si>
  <si>
    <t>остаток по второй части счета -вы мне/+я вам</t>
  </si>
  <si>
    <t>окончательный рассчет с ТР - вы мне/+я вам</t>
  </si>
  <si>
    <t>синим 50%, красным 100% зеленым доплата/переплата</t>
  </si>
  <si>
    <t>Стоимость 1 кг</t>
  </si>
  <si>
    <t>Цена доставки</t>
  </si>
  <si>
    <t>сумма с Орг+ТР</t>
  </si>
  <si>
    <t>Домника</t>
  </si>
  <si>
    <t>Greenmask</t>
  </si>
  <si>
    <t xml:space="preserve">Еелена83 </t>
  </si>
  <si>
    <t>Qazik</t>
  </si>
  <si>
    <t xml:space="preserve">беладонна 40 
</t>
  </si>
  <si>
    <t>Шмакова.А</t>
  </si>
  <si>
    <t xml:space="preserve"> плутовка 
</t>
  </si>
  <si>
    <t>for_yana_84</t>
  </si>
  <si>
    <t>Дарина мама</t>
  </si>
  <si>
    <t>snowdrop11</t>
  </si>
  <si>
    <t>Настенька75</t>
  </si>
  <si>
    <t xml:space="preserve">**JuliaV** </t>
  </si>
  <si>
    <t xml:space="preserve">Е.Лена </t>
  </si>
  <si>
    <t>Ленка я</t>
  </si>
  <si>
    <t>мармеладина</t>
  </si>
  <si>
    <t>Любаничка</t>
  </si>
  <si>
    <t xml:space="preserve">Elenochka* </t>
  </si>
  <si>
    <t>Jeanny955</t>
  </si>
  <si>
    <t xml:space="preserve">Ната**** </t>
  </si>
  <si>
    <t>elena.nsk</t>
  </si>
  <si>
    <t xml:space="preserve">kTV111 </t>
  </si>
  <si>
    <t>YAYANA</t>
  </si>
  <si>
    <t>aka_Nurka</t>
  </si>
  <si>
    <t>Openok</t>
  </si>
  <si>
    <t>Кирюшинамама</t>
  </si>
  <si>
    <t>Нашка</t>
  </si>
  <si>
    <t>Маргошечка</t>
  </si>
  <si>
    <t>Olesya888</t>
  </si>
  <si>
    <t>Елена_paul</t>
  </si>
  <si>
    <t xml:space="preserve">vogu </t>
  </si>
  <si>
    <t>Evgeniyaiz</t>
  </si>
  <si>
    <t>elka3110</t>
  </si>
  <si>
    <t>Zheneva12</t>
  </si>
  <si>
    <t>Цена товара-10%</t>
  </si>
  <si>
    <t xml:space="preserve">УЧЛА ДЕПОЗИТ 272,51 РУБ </t>
  </si>
  <si>
    <t>УЧЛА ДЕПОЗИТ 51,92 РУБ</t>
  </si>
  <si>
    <t xml:space="preserve">УЧЛА ДЕПОЗИТ 54,35 РУБ </t>
  </si>
  <si>
    <t>УЧЛА ДЕПОЗИТ 89,96</t>
  </si>
  <si>
    <t xml:space="preserve">УЧЛА ДЕПОЗИТ 7,42 РУБ </t>
  </si>
  <si>
    <t xml:space="preserve">УЧЛА ДЕПОЗИТ 19,25 РУБ </t>
  </si>
  <si>
    <t xml:space="preserve">УЧЛА ДЕПОЗИТ 65,40 РУБ </t>
  </si>
  <si>
    <t xml:space="preserve">УЧЛА ДЕПОЗИТ 30,67 РУБ </t>
  </si>
  <si>
    <t xml:space="preserve">УЧЛА ДЕПОЗИТ 206,32 РУБ </t>
  </si>
  <si>
    <t>УЧЛА ДЕПОЗИТ 10,48</t>
  </si>
  <si>
    <t>Ириша002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</si>
</sst>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;[Red]#,##0.00\ &quot;р.&quot;"/>
    <numFmt numFmtId="182" formatCode="#,##0.00\ 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67" fontId="39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173" fontId="49" fillId="0" borderId="10" xfId="0" applyNumberFormat="1" applyFont="1" applyBorder="1" applyAlignment="1">
      <alignment horizontal="center"/>
    </xf>
    <xf numFmtId="167" fontId="50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173" fontId="49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3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173" fontId="26" fillId="0" borderId="0" xfId="0" applyNumberFormat="1" applyFont="1" applyAlignment="1">
      <alignment horizontal="center"/>
    </xf>
    <xf numFmtId="173" fontId="49" fillId="0" borderId="0" xfId="0" applyNumberFormat="1" applyFont="1" applyAlignment="1">
      <alignment horizontal="center"/>
    </xf>
    <xf numFmtId="172" fontId="49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3" fontId="50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 wrapText="1"/>
    </xf>
    <xf numFmtId="172" fontId="53" fillId="0" borderId="10" xfId="0" applyNumberFormat="1" applyFont="1" applyBorder="1" applyAlignment="1">
      <alignment horizontal="center"/>
    </xf>
    <xf numFmtId="172" fontId="53" fillId="0" borderId="0" xfId="0" applyNumberFormat="1" applyFont="1" applyAlignment="1">
      <alignment horizontal="center"/>
    </xf>
    <xf numFmtId="0" fontId="54" fillId="0" borderId="12" xfId="0" applyFont="1" applyBorder="1" applyAlignment="1">
      <alignment/>
    </xf>
    <xf numFmtId="0" fontId="54" fillId="0" borderId="12" xfId="0" applyFont="1" applyFill="1" applyBorder="1" applyAlignment="1">
      <alignment/>
    </xf>
    <xf numFmtId="172" fontId="49" fillId="0" borderId="10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173" fontId="50" fillId="0" borderId="10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right"/>
    </xf>
    <xf numFmtId="0" fontId="5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F7">
      <selection activeCell="K7" sqref="K7"/>
    </sheetView>
  </sheetViews>
  <sheetFormatPr defaultColWidth="9.140625" defaultRowHeight="15"/>
  <cols>
    <col min="1" max="1" width="25.7109375" style="42" customWidth="1"/>
    <col min="2" max="2" width="25.7109375" style="1" customWidth="1"/>
    <col min="3" max="3" width="19.28125" style="23" customWidth="1"/>
    <col min="4" max="4" width="32.00390625" style="24" customWidth="1"/>
    <col min="5" max="5" width="18.8515625" style="0" customWidth="1"/>
    <col min="6" max="6" width="18.8515625" style="2" customWidth="1"/>
    <col min="7" max="7" width="16.140625" style="2" customWidth="1"/>
    <col min="8" max="8" width="13.8515625" style="22" customWidth="1"/>
    <col min="9" max="9" width="24.7109375" style="30" customWidth="1"/>
    <col min="10" max="10" width="15.57421875" style="0" customWidth="1"/>
    <col min="11" max="11" width="25.421875" style="3" customWidth="1"/>
    <col min="12" max="12" width="72.57421875" style="0" customWidth="1"/>
  </cols>
  <sheetData>
    <row r="1" spans="1:11" ht="33.75" customHeight="1">
      <c r="A1" s="38" t="s">
        <v>21</v>
      </c>
      <c r="B1" s="18">
        <v>350</v>
      </c>
      <c r="C1" s="8"/>
      <c r="D1" s="33"/>
      <c r="E1" s="16"/>
      <c r="F1" s="15"/>
      <c r="G1" s="15"/>
      <c r="H1" s="34"/>
      <c r="I1" s="29"/>
      <c r="J1" s="16"/>
      <c r="K1" s="17"/>
    </row>
    <row r="2" spans="1:11" ht="42" customHeight="1">
      <c r="A2" s="38" t="s">
        <v>20</v>
      </c>
      <c r="B2" s="18">
        <v>88</v>
      </c>
      <c r="C2" s="8"/>
      <c r="D2" s="33"/>
      <c r="E2" s="16"/>
      <c r="F2" s="15"/>
      <c r="G2" s="15"/>
      <c r="H2" s="34"/>
      <c r="I2" s="29"/>
      <c r="J2" s="16"/>
      <c r="K2" s="17"/>
    </row>
    <row r="3" spans="1:12" ht="51.75" customHeight="1">
      <c r="A3" s="35" t="s">
        <v>0</v>
      </c>
      <c r="B3" s="25" t="s">
        <v>6</v>
      </c>
      <c r="C3" s="5" t="s">
        <v>2</v>
      </c>
      <c r="D3" s="19" t="s">
        <v>56</v>
      </c>
      <c r="E3" s="4" t="s">
        <v>3</v>
      </c>
      <c r="F3" s="19" t="s">
        <v>4</v>
      </c>
      <c r="G3" s="19" t="s">
        <v>5</v>
      </c>
      <c r="H3" s="21" t="s">
        <v>1</v>
      </c>
      <c r="I3" s="28" t="s">
        <v>17</v>
      </c>
      <c r="J3" s="4" t="s">
        <v>22</v>
      </c>
      <c r="K3" s="10" t="s">
        <v>18</v>
      </c>
      <c r="L3" s="14" t="s">
        <v>19</v>
      </c>
    </row>
    <row r="4" spans="1:12" ht="19.5" customHeight="1">
      <c r="A4" s="36" t="s">
        <v>23</v>
      </c>
      <c r="B4" s="31">
        <v>0.03</v>
      </c>
      <c r="C4" s="7">
        <f>240+40+100+290</f>
        <v>670</v>
      </c>
      <c r="D4" s="19">
        <f>C4-C4*0.1</f>
        <v>603</v>
      </c>
      <c r="E4" s="13">
        <f>B4*B2</f>
        <v>2.6399999999999997</v>
      </c>
      <c r="F4" s="12">
        <f>D4+D4*0.15</f>
        <v>693.45</v>
      </c>
      <c r="G4" s="20">
        <f>F4/2</f>
        <v>346.725</v>
      </c>
      <c r="H4" s="27">
        <f>347+347</f>
        <v>694</v>
      </c>
      <c r="I4" s="29">
        <f>H4-F4</f>
        <v>0.5499999999999545</v>
      </c>
      <c r="J4" s="6">
        <f>F4+E4</f>
        <v>696.09</v>
      </c>
      <c r="K4" s="9">
        <f>H4-J4</f>
        <v>-2.090000000000032</v>
      </c>
      <c r="L4" s="2"/>
    </row>
    <row r="5" spans="1:12" ht="27" customHeight="1">
      <c r="A5" s="36" t="s">
        <v>12</v>
      </c>
      <c r="B5" s="31">
        <v>0.03</v>
      </c>
      <c r="C5" s="7">
        <f>240+280+200+150</f>
        <v>870</v>
      </c>
      <c r="D5" s="19">
        <f aca="true" t="shared" si="0" ref="D5:D47">C5-C5*0.1</f>
        <v>783</v>
      </c>
      <c r="E5" s="13">
        <f>B5*B2</f>
        <v>2.6399999999999997</v>
      </c>
      <c r="F5" s="12">
        <f>D5+D5*0.15-206.32</f>
        <v>694.1300000000001</v>
      </c>
      <c r="G5" s="20">
        <f aca="true" t="shared" si="1" ref="G5:G47">F5/2</f>
        <v>347.06500000000005</v>
      </c>
      <c r="H5" s="27">
        <v>700</v>
      </c>
      <c r="I5" s="29">
        <f aca="true" t="shared" si="2" ref="I5:I46">H5-F5</f>
        <v>5.869999999999891</v>
      </c>
      <c r="J5" s="6">
        <f aca="true" t="shared" si="3" ref="J5:J47">F5+E5</f>
        <v>696.7700000000001</v>
      </c>
      <c r="K5" s="9">
        <f aca="true" t="shared" si="4" ref="K5:K47">H5-J5</f>
        <v>3.2299999999999045</v>
      </c>
      <c r="L5" s="2" t="s">
        <v>65</v>
      </c>
    </row>
    <row r="6" spans="1:12" ht="15.75" customHeight="1">
      <c r="A6" s="36" t="s">
        <v>15</v>
      </c>
      <c r="B6" s="31">
        <v>0.07</v>
      </c>
      <c r="C6" s="7">
        <f>90*3</f>
        <v>270</v>
      </c>
      <c r="D6" s="19">
        <f t="shared" si="0"/>
        <v>243</v>
      </c>
      <c r="E6" s="13">
        <f>B6*B2</f>
        <v>6.16</v>
      </c>
      <c r="F6" s="12">
        <f>D6+D6*0.15-54.35</f>
        <v>225.1</v>
      </c>
      <c r="G6" s="20">
        <f t="shared" si="1"/>
        <v>112.55</v>
      </c>
      <c r="H6" s="27">
        <v>230</v>
      </c>
      <c r="I6" s="29">
        <f t="shared" si="2"/>
        <v>4.900000000000006</v>
      </c>
      <c r="J6" s="6">
        <f t="shared" si="3"/>
        <v>231.26</v>
      </c>
      <c r="K6" s="9">
        <f t="shared" si="4"/>
        <v>-1.259999999999991</v>
      </c>
      <c r="L6" s="2" t="s">
        <v>59</v>
      </c>
    </row>
    <row r="7" spans="1:12" ht="15">
      <c r="A7" s="36" t="s">
        <v>24</v>
      </c>
      <c r="B7" s="31">
        <v>0.05</v>
      </c>
      <c r="C7" s="7">
        <f>230+175+145+240+140</f>
        <v>930</v>
      </c>
      <c r="D7" s="19">
        <f t="shared" si="0"/>
        <v>837</v>
      </c>
      <c r="E7" s="13">
        <f>B7*B2</f>
        <v>4.4</v>
      </c>
      <c r="F7" s="12">
        <f aca="true" t="shared" si="5" ref="F7:F45">D7+D7*0.15</f>
        <v>962.55</v>
      </c>
      <c r="G7" s="20">
        <f t="shared" si="1"/>
        <v>481.275</v>
      </c>
      <c r="H7" s="27">
        <f>500+500</f>
        <v>1000</v>
      </c>
      <c r="I7" s="29">
        <f>H7-F7</f>
        <v>37.450000000000045</v>
      </c>
      <c r="J7" s="6">
        <f t="shared" si="3"/>
        <v>966.9499999999999</v>
      </c>
      <c r="K7" s="9">
        <f t="shared" si="4"/>
        <v>33.05000000000007</v>
      </c>
      <c r="L7" s="2"/>
    </row>
    <row r="8" spans="1:12" ht="15">
      <c r="A8" s="36" t="s">
        <v>25</v>
      </c>
      <c r="B8" s="31">
        <v>0.19</v>
      </c>
      <c r="C8" s="7">
        <f>240*6+250+110+360+300+250</f>
        <v>2710</v>
      </c>
      <c r="D8" s="19">
        <f t="shared" si="0"/>
        <v>2439</v>
      </c>
      <c r="E8" s="13">
        <f>B8*B2</f>
        <v>16.72</v>
      </c>
      <c r="F8" s="12">
        <f t="shared" si="5"/>
        <v>2804.85</v>
      </c>
      <c r="G8" s="20">
        <f t="shared" si="1"/>
        <v>1402.425</v>
      </c>
      <c r="H8" s="27">
        <f>1410+1394.85</f>
        <v>2804.85</v>
      </c>
      <c r="I8" s="29">
        <f t="shared" si="2"/>
        <v>0</v>
      </c>
      <c r="J8" s="6">
        <f t="shared" si="3"/>
        <v>2821.5699999999997</v>
      </c>
      <c r="K8" s="9">
        <f t="shared" si="4"/>
        <v>-16.7199999999998</v>
      </c>
      <c r="L8" s="2"/>
    </row>
    <row r="9" spans="1:11" ht="15">
      <c r="A9" s="36" t="s">
        <v>26</v>
      </c>
      <c r="B9" s="47">
        <v>0.15</v>
      </c>
      <c r="C9" s="8">
        <f>780+360+400+170*4+220+160*3</f>
        <v>2920</v>
      </c>
      <c r="D9" s="19">
        <f t="shared" si="0"/>
        <v>2628</v>
      </c>
      <c r="E9" s="13">
        <f>B9*B2</f>
        <v>13.2</v>
      </c>
      <c r="F9" s="12">
        <f t="shared" si="5"/>
        <v>3022.2</v>
      </c>
      <c r="G9" s="20">
        <f t="shared" si="1"/>
        <v>1511.1</v>
      </c>
      <c r="H9" s="27">
        <f>1939+1083.2</f>
        <v>3022.2</v>
      </c>
      <c r="I9" s="29">
        <f t="shared" si="2"/>
        <v>0</v>
      </c>
      <c r="J9" s="6">
        <f t="shared" si="3"/>
        <v>3035.3999999999996</v>
      </c>
      <c r="K9" s="9">
        <f t="shared" si="4"/>
        <v>-13.199999999999818</v>
      </c>
    </row>
    <row r="10" spans="1:11" ht="17.25" customHeight="1">
      <c r="A10" s="43" t="s">
        <v>27</v>
      </c>
      <c r="B10" s="31">
        <v>0.07</v>
      </c>
      <c r="C10" s="8">
        <f>185+240+260+250+540+240+380+330+480</f>
        <v>2905</v>
      </c>
      <c r="D10" s="19">
        <f t="shared" si="0"/>
        <v>2614.5</v>
      </c>
      <c r="E10" s="13">
        <f>B10*B2</f>
        <v>6.16</v>
      </c>
      <c r="F10" s="12">
        <f t="shared" si="5"/>
        <v>3006.675</v>
      </c>
      <c r="G10" s="20">
        <f t="shared" si="1"/>
        <v>1503.3375</v>
      </c>
      <c r="H10" s="27">
        <f>1500+1503.2</f>
        <v>3003.2</v>
      </c>
      <c r="I10" s="29">
        <f>H10-F10</f>
        <v>-3.475000000000364</v>
      </c>
      <c r="J10" s="6">
        <f t="shared" si="3"/>
        <v>3012.835</v>
      </c>
      <c r="K10" s="9">
        <f t="shared" si="4"/>
        <v>-9.635000000000218</v>
      </c>
    </row>
    <row r="11" spans="1:11" ht="15">
      <c r="A11" s="36" t="s">
        <v>28</v>
      </c>
      <c r="B11" s="31">
        <v>0.03</v>
      </c>
      <c r="C11" s="8">
        <f>240</f>
        <v>240</v>
      </c>
      <c r="D11" s="19">
        <f t="shared" si="0"/>
        <v>216</v>
      </c>
      <c r="E11" s="13">
        <f>B11*B2</f>
        <v>2.6399999999999997</v>
      </c>
      <c r="F11" s="12">
        <f t="shared" si="5"/>
        <v>248.4</v>
      </c>
      <c r="G11" s="20">
        <f t="shared" si="1"/>
        <v>124.2</v>
      </c>
      <c r="H11" s="27">
        <f>500-250</f>
        <v>250</v>
      </c>
      <c r="I11" s="29">
        <f t="shared" si="2"/>
        <v>1.5999999999999943</v>
      </c>
      <c r="J11" s="6">
        <f t="shared" si="3"/>
        <v>251.04</v>
      </c>
      <c r="K11" s="9">
        <f t="shared" si="4"/>
        <v>-1.039999999999992</v>
      </c>
    </row>
    <row r="12" spans="1:11" ht="21">
      <c r="A12" s="43" t="s">
        <v>29</v>
      </c>
      <c r="B12" s="31">
        <v>0.06</v>
      </c>
      <c r="C12" s="8">
        <f>770+480</f>
        <v>1250</v>
      </c>
      <c r="D12" s="19">
        <f t="shared" si="0"/>
        <v>1125</v>
      </c>
      <c r="E12" s="13">
        <f>B12*B2</f>
        <v>5.279999999999999</v>
      </c>
      <c r="F12" s="12">
        <f t="shared" si="5"/>
        <v>1293.75</v>
      </c>
      <c r="G12" s="20">
        <f t="shared" si="1"/>
        <v>646.875</v>
      </c>
      <c r="H12" s="27">
        <f>646.88+646.88</f>
        <v>1293.76</v>
      </c>
      <c r="I12" s="29">
        <f t="shared" si="2"/>
        <v>0.009999999999990905</v>
      </c>
      <c r="J12" s="6">
        <f t="shared" si="3"/>
        <v>1299.03</v>
      </c>
      <c r="K12" s="9">
        <f t="shared" si="4"/>
        <v>-5.269999999999982</v>
      </c>
    </row>
    <row r="13" spans="1:11" ht="15">
      <c r="A13" s="37" t="s">
        <v>30</v>
      </c>
      <c r="B13" s="31">
        <v>0.11</v>
      </c>
      <c r="C13" s="8">
        <f>450*2+250+350+500+230</f>
        <v>2230</v>
      </c>
      <c r="D13" s="19">
        <f t="shared" si="0"/>
        <v>2007</v>
      </c>
      <c r="E13" s="13">
        <f>B13*B2</f>
        <v>9.68</v>
      </c>
      <c r="F13" s="12">
        <f>D13+D13*0.15</f>
        <v>2308.05</v>
      </c>
      <c r="G13" s="20">
        <f t="shared" si="1"/>
        <v>1154.025</v>
      </c>
      <c r="H13" s="27">
        <f>1400+910</f>
        <v>2310</v>
      </c>
      <c r="I13" s="29">
        <f>H13-F13</f>
        <v>1.949999999999818</v>
      </c>
      <c r="J13" s="6">
        <f t="shared" si="3"/>
        <v>2317.73</v>
      </c>
      <c r="K13" s="9">
        <f t="shared" si="4"/>
        <v>-7.730000000000018</v>
      </c>
    </row>
    <row r="14" spans="1:11" ht="15">
      <c r="A14" s="37" t="s">
        <v>31</v>
      </c>
      <c r="B14" s="31">
        <v>0.06</v>
      </c>
      <c r="C14" s="8">
        <f>230+520+310+270</f>
        <v>1330</v>
      </c>
      <c r="D14" s="19">
        <f t="shared" si="0"/>
        <v>1197</v>
      </c>
      <c r="E14" s="13">
        <f>B14*B2</f>
        <v>5.279999999999999</v>
      </c>
      <c r="F14" s="12">
        <f t="shared" si="5"/>
        <v>1376.55</v>
      </c>
      <c r="G14" s="20">
        <f t="shared" si="1"/>
        <v>688.275</v>
      </c>
      <c r="H14" s="27">
        <f>690+686.55</f>
        <v>1376.55</v>
      </c>
      <c r="I14" s="29">
        <f t="shared" si="2"/>
        <v>0</v>
      </c>
      <c r="J14" s="6">
        <f t="shared" si="3"/>
        <v>1381.83</v>
      </c>
      <c r="K14" s="9">
        <f t="shared" si="4"/>
        <v>-5.279999999999973</v>
      </c>
    </row>
    <row r="15" spans="1:12" ht="15">
      <c r="A15" s="37" t="s">
        <v>16</v>
      </c>
      <c r="B15" s="31">
        <v>0.08</v>
      </c>
      <c r="C15" s="8">
        <f>160*5</f>
        <v>800</v>
      </c>
      <c r="D15" s="19">
        <f t="shared" si="0"/>
        <v>720</v>
      </c>
      <c r="E15" s="13">
        <f>B15*B2</f>
        <v>7.04</v>
      </c>
      <c r="F15" s="12">
        <f>D15+D15*0.15-272.51</f>
        <v>555.49</v>
      </c>
      <c r="G15" s="20">
        <f t="shared" si="1"/>
        <v>277.745</v>
      </c>
      <c r="H15" s="27">
        <v>560</v>
      </c>
      <c r="I15" s="29">
        <f t="shared" si="2"/>
        <v>4.509999999999991</v>
      </c>
      <c r="J15" s="6">
        <f t="shared" si="3"/>
        <v>562.53</v>
      </c>
      <c r="K15" s="9">
        <f t="shared" si="4"/>
        <v>-2.5299999999999727</v>
      </c>
      <c r="L15" t="s">
        <v>57</v>
      </c>
    </row>
    <row r="16" spans="1:11" ht="15">
      <c r="A16" s="36" t="s">
        <v>32</v>
      </c>
      <c r="B16" s="31">
        <v>0.07</v>
      </c>
      <c r="C16" s="8">
        <f>580+510+180</f>
        <v>1270</v>
      </c>
      <c r="D16" s="19">
        <f t="shared" si="0"/>
        <v>1143</v>
      </c>
      <c r="E16" s="13">
        <f>B16*B2</f>
        <v>6.16</v>
      </c>
      <c r="F16" s="12">
        <f t="shared" si="5"/>
        <v>1314.45</v>
      </c>
      <c r="G16" s="20">
        <f t="shared" si="1"/>
        <v>657.225</v>
      </c>
      <c r="H16" s="27">
        <v>1315</v>
      </c>
      <c r="I16" s="29">
        <f t="shared" si="2"/>
        <v>0.5499999999999545</v>
      </c>
      <c r="J16" s="6">
        <f t="shared" si="3"/>
        <v>1320.6100000000001</v>
      </c>
      <c r="K16" s="9">
        <f t="shared" si="4"/>
        <v>-5.610000000000127</v>
      </c>
    </row>
    <row r="17" spans="1:11" ht="15">
      <c r="A17" s="37" t="s">
        <v>33</v>
      </c>
      <c r="B17" s="31">
        <v>0.11</v>
      </c>
      <c r="C17" s="8">
        <f>250*2+40+450+770+220+40</f>
        <v>2020</v>
      </c>
      <c r="D17" s="19">
        <f t="shared" si="0"/>
        <v>1818</v>
      </c>
      <c r="E17" s="13">
        <f>B17*B2</f>
        <v>9.68</v>
      </c>
      <c r="F17" s="12">
        <f t="shared" si="5"/>
        <v>2090.7</v>
      </c>
      <c r="G17" s="20">
        <f t="shared" si="1"/>
        <v>1045.35</v>
      </c>
      <c r="H17" s="27">
        <f>1045.35+1045.35</f>
        <v>2090.7</v>
      </c>
      <c r="I17" s="29">
        <f t="shared" si="2"/>
        <v>0</v>
      </c>
      <c r="J17" s="6">
        <f t="shared" si="3"/>
        <v>2100.3799999999997</v>
      </c>
      <c r="K17" s="9">
        <f t="shared" si="4"/>
        <v>-9.679999999999836</v>
      </c>
    </row>
    <row r="18" spans="1:11" ht="15">
      <c r="A18" s="37" t="s">
        <v>13</v>
      </c>
      <c r="B18" s="31">
        <v>0.11</v>
      </c>
      <c r="C18" s="8">
        <f>590+690+40+250+410</f>
        <v>1980</v>
      </c>
      <c r="D18" s="19">
        <f t="shared" si="0"/>
        <v>1782</v>
      </c>
      <c r="E18" s="13">
        <f>B18*B2</f>
        <v>9.68</v>
      </c>
      <c r="F18" s="12">
        <f t="shared" si="5"/>
        <v>2049.3</v>
      </c>
      <c r="G18" s="20">
        <f t="shared" si="1"/>
        <v>1024.65</v>
      </c>
      <c r="H18" s="27">
        <f>1300+750</f>
        <v>2050</v>
      </c>
      <c r="I18" s="29">
        <f>H18-F18</f>
        <v>0.6999999999998181</v>
      </c>
      <c r="J18" s="6">
        <f t="shared" si="3"/>
        <v>2058.98</v>
      </c>
      <c r="K18" s="9">
        <f t="shared" si="4"/>
        <v>-8.980000000000018</v>
      </c>
    </row>
    <row r="19" spans="1:12" ht="15">
      <c r="A19" s="36" t="s">
        <v>10</v>
      </c>
      <c r="B19" s="46">
        <v>0.11</v>
      </c>
      <c r="C19" s="8">
        <f>360+560+315+41+360+200+190+9*8</f>
        <v>2098</v>
      </c>
      <c r="D19" s="19">
        <f t="shared" si="0"/>
        <v>1888.2</v>
      </c>
      <c r="E19" s="13">
        <f>B19*B2</f>
        <v>9.68</v>
      </c>
      <c r="F19" s="12">
        <f>D19+D19*0.15-30.67</f>
        <v>2140.76</v>
      </c>
      <c r="G19" s="20">
        <f t="shared" si="1"/>
        <v>1070.38</v>
      </c>
      <c r="H19" s="27">
        <f>1070.38+1070.38</f>
        <v>2140.76</v>
      </c>
      <c r="I19" s="29">
        <f t="shared" si="2"/>
        <v>0</v>
      </c>
      <c r="J19" s="6">
        <f t="shared" si="3"/>
        <v>2150.44</v>
      </c>
      <c r="K19" s="9">
        <f t="shared" si="4"/>
        <v>-9.679999999999836</v>
      </c>
      <c r="L19" t="s">
        <v>64</v>
      </c>
    </row>
    <row r="20" spans="1:11" ht="15">
      <c r="A20" s="36" t="s">
        <v>34</v>
      </c>
      <c r="B20" s="31">
        <v>0.06</v>
      </c>
      <c r="C20" s="8">
        <f>170+40+110+170*2</f>
        <v>660</v>
      </c>
      <c r="D20" s="19">
        <f t="shared" si="0"/>
        <v>594</v>
      </c>
      <c r="E20" s="13">
        <f>B20*B2</f>
        <v>5.279999999999999</v>
      </c>
      <c r="F20" s="12">
        <f t="shared" si="5"/>
        <v>683.1</v>
      </c>
      <c r="G20" s="20">
        <f t="shared" si="1"/>
        <v>341.55</v>
      </c>
      <c r="H20" s="45">
        <f>350+334</f>
        <v>684</v>
      </c>
      <c r="I20" s="29">
        <f>H20-F20</f>
        <v>0.8999999999999773</v>
      </c>
      <c r="J20" s="6">
        <f t="shared" si="3"/>
        <v>688.38</v>
      </c>
      <c r="K20" s="9">
        <f t="shared" si="4"/>
        <v>-4.3799999999999955</v>
      </c>
    </row>
    <row r="21" spans="1:11" ht="15">
      <c r="A21" s="37" t="s">
        <v>35</v>
      </c>
      <c r="B21" s="31">
        <v>0.02</v>
      </c>
      <c r="C21" s="11">
        <f>140+160</f>
        <v>300</v>
      </c>
      <c r="D21" s="19">
        <f t="shared" si="0"/>
        <v>270</v>
      </c>
      <c r="E21" s="13">
        <f>B21*B2</f>
        <v>1.76</v>
      </c>
      <c r="F21" s="12">
        <f t="shared" si="5"/>
        <v>310.5</v>
      </c>
      <c r="G21" s="20">
        <f t="shared" si="1"/>
        <v>155.25</v>
      </c>
      <c r="H21" s="27">
        <v>310.5</v>
      </c>
      <c r="I21" s="29">
        <f t="shared" si="2"/>
        <v>0</v>
      </c>
      <c r="J21" s="6">
        <f t="shared" si="3"/>
        <v>312.26</v>
      </c>
      <c r="K21" s="9">
        <f t="shared" si="4"/>
        <v>-1.759999999999991</v>
      </c>
    </row>
    <row r="22" spans="1:12" ht="15">
      <c r="A22" s="36" t="s">
        <v>8</v>
      </c>
      <c r="B22" s="31">
        <v>0.15</v>
      </c>
      <c r="C22" s="11">
        <f>160*6+220*2</f>
        <v>1400</v>
      </c>
      <c r="D22" s="19">
        <f t="shared" si="0"/>
        <v>1260</v>
      </c>
      <c r="E22" s="13">
        <f>B22*B2</f>
        <v>13.2</v>
      </c>
      <c r="F22" s="12">
        <f>D22+D22*0.15-19.25</f>
        <v>1429.75</v>
      </c>
      <c r="G22" s="20">
        <f t="shared" si="1"/>
        <v>714.875</v>
      </c>
      <c r="H22" s="27">
        <f>714.88+714.88</f>
        <v>1429.76</v>
      </c>
      <c r="I22" s="29">
        <f t="shared" si="2"/>
        <v>0.009999999999990905</v>
      </c>
      <c r="J22" s="6">
        <f t="shared" si="3"/>
        <v>1442.95</v>
      </c>
      <c r="K22" s="9">
        <f t="shared" si="4"/>
        <v>-13.190000000000055</v>
      </c>
      <c r="L22" t="s">
        <v>62</v>
      </c>
    </row>
    <row r="23" spans="1:11" ht="15">
      <c r="A23" s="36" t="s">
        <v>36</v>
      </c>
      <c r="B23" s="31">
        <v>0.11</v>
      </c>
      <c r="C23" s="11">
        <f>170*3</f>
        <v>510</v>
      </c>
      <c r="D23" s="19">
        <f t="shared" si="0"/>
        <v>459</v>
      </c>
      <c r="E23" s="13">
        <f>B23*B2</f>
        <v>9.68</v>
      </c>
      <c r="F23" s="12">
        <f t="shared" si="5"/>
        <v>527.85</v>
      </c>
      <c r="G23" s="20">
        <f t="shared" si="1"/>
        <v>263.925</v>
      </c>
      <c r="H23" s="27">
        <f>400+400</f>
        <v>800</v>
      </c>
      <c r="I23" s="29">
        <f t="shared" si="2"/>
        <v>272.15</v>
      </c>
      <c r="J23" s="6">
        <f t="shared" si="3"/>
        <v>537.53</v>
      </c>
      <c r="K23" s="9">
        <f t="shared" si="4"/>
        <v>262.47</v>
      </c>
    </row>
    <row r="24" spans="1:11" ht="15">
      <c r="A24" s="36" t="s">
        <v>37</v>
      </c>
      <c r="B24" s="31">
        <v>0.07</v>
      </c>
      <c r="C24" s="11">
        <f>150+245+300</f>
        <v>695</v>
      </c>
      <c r="D24" s="19">
        <f t="shared" si="0"/>
        <v>625.5</v>
      </c>
      <c r="E24" s="13">
        <f>B24*B2</f>
        <v>6.16</v>
      </c>
      <c r="F24" s="12">
        <f t="shared" si="5"/>
        <v>719.325</v>
      </c>
      <c r="G24" s="20">
        <f t="shared" si="1"/>
        <v>359.6625</v>
      </c>
      <c r="H24" s="27">
        <f>220+500</f>
        <v>720</v>
      </c>
      <c r="I24" s="29">
        <f>H24-F24</f>
        <v>0.6749999999999545</v>
      </c>
      <c r="J24" s="6">
        <f t="shared" si="3"/>
        <v>725.485</v>
      </c>
      <c r="K24" s="9">
        <f t="shared" si="4"/>
        <v>-5.485000000000014</v>
      </c>
    </row>
    <row r="25" spans="1:12" ht="15">
      <c r="A25" s="37" t="s">
        <v>7</v>
      </c>
      <c r="B25" s="31">
        <v>0.06</v>
      </c>
      <c r="C25" s="11">
        <f>80+290+160+220+140</f>
        <v>890</v>
      </c>
      <c r="D25" s="19">
        <f t="shared" si="0"/>
        <v>801</v>
      </c>
      <c r="E25" s="13">
        <f>B25*B2</f>
        <v>5.279999999999999</v>
      </c>
      <c r="F25" s="12">
        <f>D25+D25*0.15-51.92</f>
        <v>869.23</v>
      </c>
      <c r="G25" s="20">
        <f t="shared" si="1"/>
        <v>434.615</v>
      </c>
      <c r="H25" s="27">
        <v>870</v>
      </c>
      <c r="I25" s="29">
        <f t="shared" si="2"/>
        <v>0.7699999999999818</v>
      </c>
      <c r="J25" s="6">
        <f t="shared" si="3"/>
        <v>874.51</v>
      </c>
      <c r="K25" s="9">
        <f t="shared" si="4"/>
        <v>-4.509999999999991</v>
      </c>
      <c r="L25" t="s">
        <v>58</v>
      </c>
    </row>
    <row r="26" spans="1:11" ht="15">
      <c r="A26" s="36" t="s">
        <v>38</v>
      </c>
      <c r="B26" s="31">
        <v>0.1</v>
      </c>
      <c r="C26" s="11">
        <f>290*2+360+250+370</f>
        <v>1560</v>
      </c>
      <c r="D26" s="19">
        <f t="shared" si="0"/>
        <v>1404</v>
      </c>
      <c r="E26" s="13">
        <f>B26*B2</f>
        <v>8.8</v>
      </c>
      <c r="F26" s="12">
        <f t="shared" si="5"/>
        <v>1614.6</v>
      </c>
      <c r="G26" s="20">
        <f t="shared" si="1"/>
        <v>807.3</v>
      </c>
      <c r="H26" s="27">
        <f>805+810</f>
        <v>1615</v>
      </c>
      <c r="I26" s="29">
        <f t="shared" si="2"/>
        <v>0.40000000000009095</v>
      </c>
      <c r="J26" s="6">
        <f t="shared" si="3"/>
        <v>1623.3999999999999</v>
      </c>
      <c r="K26" s="9">
        <f t="shared" si="4"/>
        <v>-8.399999999999864</v>
      </c>
    </row>
    <row r="27" spans="1:12" ht="15">
      <c r="A27" s="36" t="s">
        <v>9</v>
      </c>
      <c r="B27" s="31">
        <v>0.2</v>
      </c>
      <c r="C27" s="11">
        <f>340+280+155+250+160+200+190*2+170+320+150+85+170+180+280+310+270+330+110+135+160+140</f>
        <v>4575</v>
      </c>
      <c r="D27" s="19">
        <f t="shared" si="0"/>
        <v>4117.5</v>
      </c>
      <c r="E27" s="13">
        <f>B27*B2</f>
        <v>17.6</v>
      </c>
      <c r="F27" s="12">
        <f>D27+D27*0.15-65.4</f>
        <v>4669.725</v>
      </c>
      <c r="G27" s="20">
        <f t="shared" si="1"/>
        <v>2334.8625</v>
      </c>
      <c r="H27" s="27">
        <v>4920</v>
      </c>
      <c r="I27" s="29">
        <f t="shared" si="2"/>
        <v>250.27499999999964</v>
      </c>
      <c r="J27" s="6">
        <f t="shared" si="3"/>
        <v>4687.325000000001</v>
      </c>
      <c r="K27" s="9">
        <f t="shared" si="4"/>
        <v>232.67499999999927</v>
      </c>
      <c r="L27" t="s">
        <v>63</v>
      </c>
    </row>
    <row r="28" spans="1:12" ht="15">
      <c r="A28" s="36" t="s">
        <v>39</v>
      </c>
      <c r="B28" s="32">
        <v>0.04</v>
      </c>
      <c r="C28" s="8">
        <f>250+150</f>
        <v>400</v>
      </c>
      <c r="D28" s="19">
        <f t="shared" si="0"/>
        <v>360</v>
      </c>
      <c r="E28" s="13">
        <f>B28*B2</f>
        <v>3.52</v>
      </c>
      <c r="F28" s="12">
        <f>D28+D28*0.15-7.42</f>
        <v>406.58</v>
      </c>
      <c r="G28" s="20">
        <f t="shared" si="1"/>
        <v>203.29</v>
      </c>
      <c r="H28" s="27">
        <v>410</v>
      </c>
      <c r="I28" s="29">
        <f t="shared" si="2"/>
        <v>3.420000000000016</v>
      </c>
      <c r="J28" s="6">
        <f t="shared" si="3"/>
        <v>410.09999999999997</v>
      </c>
      <c r="K28" s="9">
        <f t="shared" si="4"/>
        <v>-0.0999999999999659</v>
      </c>
      <c r="L28" t="s">
        <v>61</v>
      </c>
    </row>
    <row r="29" spans="1:11" ht="15">
      <c r="A29" s="37" t="s">
        <v>40</v>
      </c>
      <c r="B29" s="26">
        <v>0.1</v>
      </c>
      <c r="C29" s="8">
        <f>155+310+250+540+410+360</f>
        <v>2025</v>
      </c>
      <c r="D29" s="19">
        <f t="shared" si="0"/>
        <v>1822.5</v>
      </c>
      <c r="E29" s="13">
        <f>B29*B2</f>
        <v>8.8</v>
      </c>
      <c r="F29" s="12">
        <f t="shared" si="5"/>
        <v>2095.875</v>
      </c>
      <c r="G29" s="20">
        <f t="shared" si="1"/>
        <v>1047.9375</v>
      </c>
      <c r="H29" s="27">
        <f>1048+1048</f>
        <v>2096</v>
      </c>
      <c r="I29" s="29">
        <f t="shared" si="2"/>
        <v>0.125</v>
      </c>
      <c r="J29" s="6">
        <f t="shared" si="3"/>
        <v>2104.675</v>
      </c>
      <c r="K29" s="9">
        <f t="shared" si="4"/>
        <v>-8.675000000000182</v>
      </c>
    </row>
    <row r="30" spans="1:11" ht="15">
      <c r="A30" s="37" t="s">
        <v>41</v>
      </c>
      <c r="B30" s="26">
        <v>0.14</v>
      </c>
      <c r="C30" s="8">
        <f>160*4+90+280+970</f>
        <v>1980</v>
      </c>
      <c r="D30" s="19">
        <f t="shared" si="0"/>
        <v>1782</v>
      </c>
      <c r="E30" s="13">
        <f>B30*B2</f>
        <v>12.32</v>
      </c>
      <c r="F30" s="12">
        <f t="shared" si="5"/>
        <v>2049.3</v>
      </c>
      <c r="G30" s="20">
        <f t="shared" si="1"/>
        <v>1024.65</v>
      </c>
      <c r="H30" s="27">
        <v>2050</v>
      </c>
      <c r="I30" s="29">
        <f t="shared" si="2"/>
        <v>0.6999999999998181</v>
      </c>
      <c r="J30" s="6">
        <f t="shared" si="3"/>
        <v>2061.6200000000003</v>
      </c>
      <c r="K30" s="9">
        <f t="shared" si="4"/>
        <v>-11.620000000000346</v>
      </c>
    </row>
    <row r="31" spans="1:11" ht="15">
      <c r="A31" s="36" t="s">
        <v>11</v>
      </c>
      <c r="B31" s="26">
        <v>0.01</v>
      </c>
      <c r="C31" s="8">
        <f>110</f>
        <v>110</v>
      </c>
      <c r="D31" s="19">
        <f t="shared" si="0"/>
        <v>99</v>
      </c>
      <c r="E31" s="13">
        <f>B31*B2</f>
        <v>0.88</v>
      </c>
      <c r="F31" s="12">
        <f t="shared" si="5"/>
        <v>113.85</v>
      </c>
      <c r="G31" s="20">
        <f t="shared" si="1"/>
        <v>56.925</v>
      </c>
      <c r="H31" s="27">
        <v>120</v>
      </c>
      <c r="I31" s="29">
        <f t="shared" si="2"/>
        <v>6.150000000000006</v>
      </c>
      <c r="J31" s="6">
        <f t="shared" si="3"/>
        <v>114.72999999999999</v>
      </c>
      <c r="K31" s="9">
        <f t="shared" si="4"/>
        <v>5.27000000000001</v>
      </c>
    </row>
    <row r="32" spans="1:11" ht="15">
      <c r="A32" s="37" t="s">
        <v>42</v>
      </c>
      <c r="B32" s="26">
        <v>0.52</v>
      </c>
      <c r="C32" s="8">
        <f>59*4+9*10+160*3+190+130+490+320+300+190*3+250+500+290+130*2+120+250+170*2+190+130+255+290+390+170*5</f>
        <v>6921</v>
      </c>
      <c r="D32" s="19">
        <f t="shared" si="0"/>
        <v>6228.9</v>
      </c>
      <c r="E32" s="13">
        <f>B32*B2</f>
        <v>45.760000000000005</v>
      </c>
      <c r="F32" s="12">
        <f t="shared" si="5"/>
        <v>7163.235</v>
      </c>
      <c r="G32" s="20">
        <f t="shared" si="1"/>
        <v>3581.6175</v>
      </c>
      <c r="H32" s="27">
        <f>4100+3100</f>
        <v>7200</v>
      </c>
      <c r="I32" s="29">
        <f t="shared" si="2"/>
        <v>36.76500000000033</v>
      </c>
      <c r="J32" s="6">
        <f t="shared" si="3"/>
        <v>7208.995</v>
      </c>
      <c r="K32" s="9">
        <f t="shared" si="4"/>
        <v>-8.99499999999989</v>
      </c>
    </row>
    <row r="33" spans="1:11" ht="15">
      <c r="A33" s="36" t="s">
        <v>43</v>
      </c>
      <c r="B33" s="26">
        <v>0.06</v>
      </c>
      <c r="C33" s="8">
        <f>230+39+230+190+430+500</f>
        <v>1619</v>
      </c>
      <c r="D33" s="19">
        <f t="shared" si="0"/>
        <v>1457.1</v>
      </c>
      <c r="E33" s="13">
        <f>B33*B2</f>
        <v>5.279999999999999</v>
      </c>
      <c r="F33" s="12">
        <f t="shared" si="5"/>
        <v>1675.665</v>
      </c>
      <c r="G33" s="20">
        <f t="shared" si="1"/>
        <v>837.8325</v>
      </c>
      <c r="H33" s="27">
        <f>850+840</f>
        <v>1690</v>
      </c>
      <c r="I33" s="29">
        <f t="shared" si="2"/>
        <v>14.335000000000036</v>
      </c>
      <c r="J33" s="6">
        <f t="shared" si="3"/>
        <v>1680.945</v>
      </c>
      <c r="K33" s="9">
        <f t="shared" si="4"/>
        <v>9.055000000000064</v>
      </c>
    </row>
    <row r="34" spans="1:11" ht="15">
      <c r="A34" s="36" t="s">
        <v>44</v>
      </c>
      <c r="B34" s="26">
        <v>0.2</v>
      </c>
      <c r="C34" s="8">
        <f>1900+290*2+250+350</f>
        <v>3080</v>
      </c>
      <c r="D34" s="19">
        <f t="shared" si="0"/>
        <v>2772</v>
      </c>
      <c r="E34" s="13">
        <f>B34*B2</f>
        <v>17.6</v>
      </c>
      <c r="F34" s="12">
        <f t="shared" si="5"/>
        <v>3187.8</v>
      </c>
      <c r="G34" s="20">
        <f t="shared" si="1"/>
        <v>1593.9</v>
      </c>
      <c r="H34" s="27">
        <f>1290+1900</f>
        <v>3190</v>
      </c>
      <c r="I34" s="29">
        <f>H34-F34</f>
        <v>2.199999999999818</v>
      </c>
      <c r="J34" s="6">
        <f t="shared" si="3"/>
        <v>3205.4</v>
      </c>
      <c r="K34" s="9">
        <f t="shared" si="4"/>
        <v>-15.400000000000091</v>
      </c>
    </row>
    <row r="35" spans="1:12" ht="15">
      <c r="A35" s="37" t="s">
        <v>14</v>
      </c>
      <c r="B35" s="26">
        <v>0.33</v>
      </c>
      <c r="C35" s="8">
        <f>250*2+180+260+300*2+450+69*2+49*2+40*3+130+250</f>
        <v>2726</v>
      </c>
      <c r="D35" s="19">
        <f t="shared" si="0"/>
        <v>2453.4</v>
      </c>
      <c r="E35" s="13">
        <f>B35*B2</f>
        <v>29.040000000000003</v>
      </c>
      <c r="F35" s="12">
        <f>D35+D35*0.15-10.48</f>
        <v>2810.93</v>
      </c>
      <c r="G35" s="20">
        <f t="shared" si="1"/>
        <v>1405.465</v>
      </c>
      <c r="H35" s="27">
        <f>1310+1500</f>
        <v>2810</v>
      </c>
      <c r="I35" s="29">
        <f t="shared" si="2"/>
        <v>-0.9299999999998363</v>
      </c>
      <c r="J35" s="6">
        <f t="shared" si="3"/>
        <v>2839.97</v>
      </c>
      <c r="K35" s="9">
        <f t="shared" si="4"/>
        <v>-29.9699999999998</v>
      </c>
      <c r="L35" t="s">
        <v>66</v>
      </c>
    </row>
    <row r="36" spans="1:11" ht="15">
      <c r="A36" s="36" t="s">
        <v>45</v>
      </c>
      <c r="B36" s="26">
        <v>0.01</v>
      </c>
      <c r="C36" s="8">
        <f>190</f>
        <v>190</v>
      </c>
      <c r="D36" s="19">
        <f t="shared" si="0"/>
        <v>171</v>
      </c>
      <c r="E36" s="13">
        <f>B36*B2</f>
        <v>0.88</v>
      </c>
      <c r="F36" s="12">
        <f t="shared" si="5"/>
        <v>196.65</v>
      </c>
      <c r="G36" s="20">
        <f t="shared" si="1"/>
        <v>98.325</v>
      </c>
      <c r="H36" s="27">
        <v>218.5</v>
      </c>
      <c r="I36" s="29">
        <f t="shared" si="2"/>
        <v>21.849999999999994</v>
      </c>
      <c r="J36" s="6">
        <f t="shared" si="3"/>
        <v>197.53</v>
      </c>
      <c r="K36" s="9">
        <f t="shared" si="4"/>
        <v>20.97</v>
      </c>
    </row>
    <row r="37" spans="1:11" ht="15">
      <c r="A37" s="36" t="s">
        <v>46</v>
      </c>
      <c r="B37" s="26">
        <v>0.03</v>
      </c>
      <c r="C37" s="8">
        <f>250+100</f>
        <v>350</v>
      </c>
      <c r="D37" s="19">
        <f t="shared" si="0"/>
        <v>315</v>
      </c>
      <c r="E37" s="13">
        <f>B37*B2</f>
        <v>2.6399999999999997</v>
      </c>
      <c r="F37" s="12">
        <f t="shared" si="5"/>
        <v>362.25</v>
      </c>
      <c r="G37" s="20">
        <f t="shared" si="1"/>
        <v>181.125</v>
      </c>
      <c r="H37" s="27">
        <f>181+181.13+0.12</f>
        <v>362.25</v>
      </c>
      <c r="I37" s="29">
        <f t="shared" si="2"/>
        <v>0</v>
      </c>
      <c r="J37" s="6">
        <f t="shared" si="3"/>
        <v>364.89</v>
      </c>
      <c r="K37" s="9">
        <f t="shared" si="4"/>
        <v>-2.6399999999999864</v>
      </c>
    </row>
    <row r="38" spans="1:11" ht="15">
      <c r="A38" s="37" t="s">
        <v>47</v>
      </c>
      <c r="B38" s="26">
        <v>0.04</v>
      </c>
      <c r="C38" s="8">
        <f>40+250+410</f>
        <v>700</v>
      </c>
      <c r="D38" s="19">
        <f t="shared" si="0"/>
        <v>630</v>
      </c>
      <c r="E38" s="13">
        <f>B38*B2</f>
        <v>3.52</v>
      </c>
      <c r="F38" s="12">
        <f t="shared" si="5"/>
        <v>724.5</v>
      </c>
      <c r="G38" s="20">
        <f t="shared" si="1"/>
        <v>362.25</v>
      </c>
      <c r="H38" s="27">
        <f>362.25+362.25</f>
        <v>724.5</v>
      </c>
      <c r="I38" s="29">
        <f>H38-F38</f>
        <v>0</v>
      </c>
      <c r="J38" s="6">
        <f t="shared" si="3"/>
        <v>728.02</v>
      </c>
      <c r="K38" s="9">
        <f t="shared" si="4"/>
        <v>-3.519999999999982</v>
      </c>
    </row>
    <row r="39" spans="1:11" ht="15">
      <c r="A39" s="37" t="s">
        <v>48</v>
      </c>
      <c r="B39" s="26">
        <v>0.02</v>
      </c>
      <c r="C39" s="8">
        <f>160+110</f>
        <v>270</v>
      </c>
      <c r="D39" s="19">
        <f t="shared" si="0"/>
        <v>243</v>
      </c>
      <c r="E39" s="13">
        <f>B39*B2</f>
        <v>1.76</v>
      </c>
      <c r="F39" s="12">
        <f>D39+D39*0.15</f>
        <v>279.45</v>
      </c>
      <c r="G39" s="20">
        <f>F39/2</f>
        <v>139.725</v>
      </c>
      <c r="H39" s="27">
        <f>140+140</f>
        <v>280</v>
      </c>
      <c r="I39" s="29">
        <f t="shared" si="2"/>
        <v>0.5500000000000114</v>
      </c>
      <c r="J39" s="6">
        <f t="shared" si="3"/>
        <v>281.21</v>
      </c>
      <c r="K39" s="9">
        <f t="shared" si="4"/>
        <v>-1.2099999999999795</v>
      </c>
    </row>
    <row r="40" spans="1:11" ht="15">
      <c r="A40" s="37" t="s">
        <v>49</v>
      </c>
      <c r="B40" s="26">
        <v>0.03</v>
      </c>
      <c r="C40" s="8">
        <f>470+320+300</f>
        <v>1090</v>
      </c>
      <c r="D40" s="19">
        <f t="shared" si="0"/>
        <v>981</v>
      </c>
      <c r="E40" s="13">
        <f>B40*B2</f>
        <v>2.6399999999999997</v>
      </c>
      <c r="F40" s="12">
        <f t="shared" si="5"/>
        <v>1128.15</v>
      </c>
      <c r="G40" s="20">
        <f t="shared" si="1"/>
        <v>564.075</v>
      </c>
      <c r="H40" s="27">
        <f>565+564</f>
        <v>1129</v>
      </c>
      <c r="I40" s="29">
        <f t="shared" si="2"/>
        <v>0.849999999999909</v>
      </c>
      <c r="J40" s="6">
        <f t="shared" si="3"/>
        <v>1130.7900000000002</v>
      </c>
      <c r="K40" s="9">
        <f t="shared" si="4"/>
        <v>-1.790000000000191</v>
      </c>
    </row>
    <row r="41" spans="1:11" ht="15">
      <c r="A41" s="37" t="s">
        <v>50</v>
      </c>
      <c r="B41" s="26">
        <v>0.04</v>
      </c>
      <c r="C41" s="8">
        <f>250+410</f>
        <v>660</v>
      </c>
      <c r="D41" s="19">
        <f t="shared" si="0"/>
        <v>594</v>
      </c>
      <c r="E41" s="13">
        <f>B41*B2</f>
        <v>3.52</v>
      </c>
      <c r="F41" s="12">
        <f t="shared" si="5"/>
        <v>683.1</v>
      </c>
      <c r="G41" s="20">
        <f t="shared" si="1"/>
        <v>341.55</v>
      </c>
      <c r="H41" s="27">
        <f>350+341.55</f>
        <v>691.55</v>
      </c>
      <c r="I41" s="29">
        <f>H41-F41</f>
        <v>8.449999999999932</v>
      </c>
      <c r="J41" s="6">
        <f t="shared" si="3"/>
        <v>686.62</v>
      </c>
      <c r="K41" s="9">
        <f t="shared" si="4"/>
        <v>4.92999999999995</v>
      </c>
    </row>
    <row r="42" spans="1:11" ht="15">
      <c r="A42" s="37" t="s">
        <v>51</v>
      </c>
      <c r="B42" s="26">
        <v>0.03</v>
      </c>
      <c r="C42" s="8">
        <f>90*2+115</f>
        <v>295</v>
      </c>
      <c r="D42" s="19">
        <f t="shared" si="0"/>
        <v>265.5</v>
      </c>
      <c r="E42" s="13">
        <f>B42*B2</f>
        <v>2.6399999999999997</v>
      </c>
      <c r="F42" s="12">
        <f t="shared" si="5"/>
        <v>305.325</v>
      </c>
      <c r="G42" s="20">
        <f t="shared" si="1"/>
        <v>152.6625</v>
      </c>
      <c r="H42" s="27">
        <f>151+155</f>
        <v>306</v>
      </c>
      <c r="I42" s="29">
        <f t="shared" si="2"/>
        <v>0.6750000000000114</v>
      </c>
      <c r="J42" s="6">
        <f t="shared" si="3"/>
        <v>307.965</v>
      </c>
      <c r="K42" s="9">
        <f t="shared" si="4"/>
        <v>-1.964999999999975</v>
      </c>
    </row>
    <row r="43" spans="1:12" ht="15">
      <c r="A43" s="36" t="s">
        <v>52</v>
      </c>
      <c r="B43" s="26">
        <v>0.07</v>
      </c>
      <c r="C43" s="8">
        <f>260+110+260+525*2</f>
        <v>1680</v>
      </c>
      <c r="D43" s="19">
        <f t="shared" si="0"/>
        <v>1512</v>
      </c>
      <c r="E43" s="13">
        <f>B43*B2</f>
        <v>6.16</v>
      </c>
      <c r="F43" s="12">
        <f>D43+D43*0.15-89.96</f>
        <v>1648.84</v>
      </c>
      <c r="G43" s="20">
        <f t="shared" si="1"/>
        <v>824.42</v>
      </c>
      <c r="H43" s="27">
        <f>1134+515</f>
        <v>1649</v>
      </c>
      <c r="I43" s="29">
        <f t="shared" si="2"/>
        <v>0.16000000000008185</v>
      </c>
      <c r="J43" s="6">
        <f t="shared" si="3"/>
        <v>1655</v>
      </c>
      <c r="K43" s="9">
        <f t="shared" si="4"/>
        <v>-6</v>
      </c>
      <c r="L43" t="s">
        <v>60</v>
      </c>
    </row>
    <row r="44" spans="1:11" ht="15">
      <c r="A44" s="36" t="s">
        <v>53</v>
      </c>
      <c r="B44" s="26">
        <v>0.06</v>
      </c>
      <c r="C44" s="8">
        <f>340+160+230+260</f>
        <v>990</v>
      </c>
      <c r="D44" s="19">
        <f t="shared" si="0"/>
        <v>891</v>
      </c>
      <c r="E44" s="13">
        <f>B44*B2</f>
        <v>5.279999999999999</v>
      </c>
      <c r="F44" s="12">
        <f t="shared" si="5"/>
        <v>1024.65</v>
      </c>
      <c r="G44" s="20">
        <f t="shared" si="1"/>
        <v>512.325</v>
      </c>
      <c r="H44" s="27">
        <f>874.58+1024.65-850</f>
        <v>1049.23</v>
      </c>
      <c r="I44" s="29">
        <f t="shared" si="2"/>
        <v>24.579999999999927</v>
      </c>
      <c r="J44" s="6">
        <f t="shared" si="3"/>
        <v>1029.93</v>
      </c>
      <c r="K44" s="9">
        <f t="shared" si="4"/>
        <v>19.299999999999955</v>
      </c>
    </row>
    <row r="45" spans="1:11" ht="15">
      <c r="A45" s="36" t="s">
        <v>54</v>
      </c>
      <c r="B45" s="26">
        <v>0.04</v>
      </c>
      <c r="C45" s="8">
        <f>710+370</f>
        <v>1080</v>
      </c>
      <c r="D45" s="19">
        <f t="shared" si="0"/>
        <v>972</v>
      </c>
      <c r="E45" s="13">
        <f>B45*B2</f>
        <v>3.52</v>
      </c>
      <c r="F45" s="12">
        <f t="shared" si="5"/>
        <v>1117.8</v>
      </c>
      <c r="G45" s="20">
        <f t="shared" si="1"/>
        <v>558.9</v>
      </c>
      <c r="H45" s="27">
        <f>558.9+558.9</f>
        <v>1117.8</v>
      </c>
      <c r="I45" s="29">
        <f>H45-F45</f>
        <v>0</v>
      </c>
      <c r="J45" s="6">
        <f t="shared" si="3"/>
        <v>1121.32</v>
      </c>
      <c r="K45" s="9">
        <f t="shared" si="4"/>
        <v>-3.519999999999982</v>
      </c>
    </row>
    <row r="46" spans="1:11" ht="15">
      <c r="A46" s="36" t="s">
        <v>55</v>
      </c>
      <c r="B46" s="26">
        <v>0.08</v>
      </c>
      <c r="C46" s="8">
        <f>250+180+230+240+540+180</f>
        <v>1620</v>
      </c>
      <c r="D46" s="19">
        <f t="shared" si="0"/>
        <v>1458</v>
      </c>
      <c r="E46" s="13">
        <f>B46*B2</f>
        <v>7.04</v>
      </c>
      <c r="F46" s="12">
        <f>D46</f>
        <v>1458</v>
      </c>
      <c r="G46" s="20">
        <f t="shared" si="1"/>
        <v>729</v>
      </c>
      <c r="H46" s="27">
        <v>1500</v>
      </c>
      <c r="I46" s="29">
        <f t="shared" si="2"/>
        <v>42</v>
      </c>
      <c r="J46" s="6">
        <f t="shared" si="3"/>
        <v>1465.04</v>
      </c>
      <c r="K46" s="9">
        <f t="shared" si="4"/>
        <v>34.960000000000036</v>
      </c>
    </row>
    <row r="47" spans="1:11" ht="15">
      <c r="A47" s="44" t="s">
        <v>67</v>
      </c>
      <c r="B47" s="26">
        <v>0.03</v>
      </c>
      <c r="C47" s="8">
        <f>90+170</f>
        <v>260</v>
      </c>
      <c r="D47" s="19">
        <f t="shared" si="0"/>
        <v>234</v>
      </c>
      <c r="E47" s="13">
        <f>B47*B2</f>
        <v>2.6399999999999997</v>
      </c>
      <c r="F47" s="12">
        <f>D47+D47*0.15</f>
        <v>269.1</v>
      </c>
      <c r="G47" s="20">
        <f t="shared" si="1"/>
        <v>134.55</v>
      </c>
      <c r="H47" s="27">
        <f>150+119.1</f>
        <v>269.1</v>
      </c>
      <c r="I47" s="29">
        <f>H47-F47</f>
        <v>0</v>
      </c>
      <c r="J47" s="6">
        <f t="shared" si="3"/>
        <v>271.74</v>
      </c>
      <c r="K47" s="9">
        <f t="shared" si="4"/>
        <v>-2.6399999999999864</v>
      </c>
    </row>
    <row r="48" spans="1:11" ht="15">
      <c r="A48" s="39"/>
      <c r="B48" s="26"/>
      <c r="C48" s="8"/>
      <c r="D48" s="19"/>
      <c r="E48" s="13">
        <f>SUM(E4:E47)</f>
        <v>350.23999999999995</v>
      </c>
      <c r="F48" s="12"/>
      <c r="G48" s="20"/>
      <c r="H48" s="34"/>
      <c r="I48" s="29"/>
      <c r="J48" s="6"/>
      <c r="K48" s="9"/>
    </row>
    <row r="49" spans="1:11" ht="15">
      <c r="A49" s="39"/>
      <c r="B49" s="26"/>
      <c r="C49" s="8"/>
      <c r="D49" s="19"/>
      <c r="E49" s="13"/>
      <c r="F49" s="12"/>
      <c r="G49" s="20"/>
      <c r="H49" s="34"/>
      <c r="I49" s="29"/>
      <c r="J49" s="6"/>
      <c r="K49" s="9"/>
    </row>
    <row r="50" spans="1:11" ht="15">
      <c r="A50" s="39"/>
      <c r="B50" s="26"/>
      <c r="C50" s="8"/>
      <c r="D50" s="19"/>
      <c r="E50" s="13"/>
      <c r="F50" s="12"/>
      <c r="G50" s="20"/>
      <c r="H50" s="34"/>
      <c r="I50" s="29"/>
      <c r="J50" s="6"/>
      <c r="K50" s="9"/>
    </row>
    <row r="51" spans="1:11" ht="15">
      <c r="A51" s="39"/>
      <c r="B51" s="26"/>
      <c r="C51" s="8"/>
      <c r="D51" s="19"/>
      <c r="E51" s="13"/>
      <c r="F51" s="12"/>
      <c r="G51" s="20"/>
      <c r="H51" s="34"/>
      <c r="I51" s="29"/>
      <c r="J51" s="6"/>
      <c r="K51" s="9"/>
    </row>
    <row r="52" spans="1:11" ht="15">
      <c r="A52" s="39"/>
      <c r="B52" s="26"/>
      <c r="C52" s="8"/>
      <c r="D52" s="19"/>
      <c r="E52" s="13"/>
      <c r="F52" s="12"/>
      <c r="G52" s="20"/>
      <c r="H52" s="34"/>
      <c r="I52" s="29"/>
      <c r="J52" s="6"/>
      <c r="K52" s="9"/>
    </row>
    <row r="53" spans="1:11" ht="15">
      <c r="A53" s="39"/>
      <c r="B53" s="26"/>
      <c r="C53" s="8"/>
      <c r="D53" s="19"/>
      <c r="E53" s="13"/>
      <c r="F53" s="12"/>
      <c r="G53" s="20"/>
      <c r="H53" s="34"/>
      <c r="I53" s="29"/>
      <c r="J53" s="6"/>
      <c r="K53" s="9"/>
    </row>
    <row r="54" spans="1:11" ht="15">
      <c r="A54" s="39"/>
      <c r="B54" s="26"/>
      <c r="C54" s="8"/>
      <c r="D54" s="19"/>
      <c r="E54" s="13"/>
      <c r="F54" s="12"/>
      <c r="G54" s="20"/>
      <c r="H54" s="34"/>
      <c r="I54" s="29"/>
      <c r="J54" s="6"/>
      <c r="K54" s="9"/>
    </row>
    <row r="55" spans="1:11" ht="15">
      <c r="A55" s="40"/>
      <c r="B55" s="26"/>
      <c r="C55" s="8"/>
      <c r="D55" s="19"/>
      <c r="E55" s="13"/>
      <c r="F55" s="12"/>
      <c r="G55" s="20"/>
      <c r="H55" s="34"/>
      <c r="I55" s="29"/>
      <c r="J55" s="6"/>
      <c r="K55" s="9"/>
    </row>
    <row r="56" spans="1:11" ht="15">
      <c r="A56" s="39"/>
      <c r="B56" s="26"/>
      <c r="C56" s="8"/>
      <c r="D56" s="19"/>
      <c r="E56" s="13"/>
      <c r="F56" s="12"/>
      <c r="G56" s="20"/>
      <c r="H56" s="34"/>
      <c r="I56" s="29"/>
      <c r="J56" s="6"/>
      <c r="K56" s="9"/>
    </row>
    <row r="57" spans="1:11" ht="15">
      <c r="A57" s="39"/>
      <c r="B57" s="26"/>
      <c r="C57" s="8"/>
      <c r="D57" s="19"/>
      <c r="E57" s="13"/>
      <c r="F57" s="12"/>
      <c r="G57" s="20"/>
      <c r="H57" s="34"/>
      <c r="I57" s="29"/>
      <c r="J57" s="6"/>
      <c r="K57" s="9"/>
    </row>
    <row r="58" spans="1:11" ht="15">
      <c r="A58" s="39"/>
      <c r="B58" s="26"/>
      <c r="C58" s="8"/>
      <c r="D58" s="19"/>
      <c r="E58" s="13"/>
      <c r="F58" s="12"/>
      <c r="G58" s="20"/>
      <c r="H58" s="34"/>
      <c r="I58" s="29"/>
      <c r="J58" s="6"/>
      <c r="K58" s="9"/>
    </row>
    <row r="59" spans="1:11" ht="15">
      <c r="A59" s="39"/>
      <c r="B59" s="26"/>
      <c r="C59" s="8"/>
      <c r="D59" s="19"/>
      <c r="E59" s="13"/>
      <c r="F59" s="12"/>
      <c r="G59" s="20"/>
      <c r="H59" s="34"/>
      <c r="I59" s="29"/>
      <c r="J59" s="6"/>
      <c r="K59" s="9"/>
    </row>
    <row r="60" spans="1:11" ht="15">
      <c r="A60" s="39"/>
      <c r="B60" s="26"/>
      <c r="C60" s="8"/>
      <c r="D60" s="19"/>
      <c r="E60" s="13"/>
      <c r="F60" s="12"/>
      <c r="G60" s="20"/>
      <c r="H60" s="34"/>
      <c r="I60" s="29"/>
      <c r="J60" s="6"/>
      <c r="K60" s="9"/>
    </row>
    <row r="61" spans="1:11" ht="15">
      <c r="A61" s="39"/>
      <c r="B61" s="26"/>
      <c r="C61" s="8"/>
      <c r="D61" s="19"/>
      <c r="E61" s="13"/>
      <c r="F61" s="12"/>
      <c r="G61" s="20"/>
      <c r="H61" s="34"/>
      <c r="I61" s="29"/>
      <c r="J61" s="6"/>
      <c r="K61" s="9"/>
    </row>
    <row r="62" spans="1:11" ht="15">
      <c r="A62" s="39"/>
      <c r="B62" s="26"/>
      <c r="C62" s="8"/>
      <c r="D62" s="19"/>
      <c r="E62" s="13"/>
      <c r="F62" s="12"/>
      <c r="G62" s="20"/>
      <c r="H62" s="34"/>
      <c r="I62" s="29"/>
      <c r="J62" s="6"/>
      <c r="K62" s="9"/>
    </row>
    <row r="63" spans="1:11" ht="15">
      <c r="A63" s="39"/>
      <c r="B63" s="26"/>
      <c r="C63" s="8"/>
      <c r="D63" s="19"/>
      <c r="E63" s="13"/>
      <c r="F63" s="12"/>
      <c r="G63" s="20"/>
      <c r="H63" s="34"/>
      <c r="I63" s="29"/>
      <c r="J63" s="6"/>
      <c r="K63" s="9"/>
    </row>
    <row r="64" spans="1:11" ht="15">
      <c r="A64" s="39"/>
      <c r="B64" s="26"/>
      <c r="C64" s="8"/>
      <c r="D64" s="19"/>
      <c r="E64" s="13"/>
      <c r="F64" s="12"/>
      <c r="G64" s="20"/>
      <c r="H64" s="34"/>
      <c r="I64" s="29"/>
      <c r="J64" s="6"/>
      <c r="K64" s="9"/>
    </row>
    <row r="65" spans="1:11" ht="15">
      <c r="A65" s="39"/>
      <c r="B65" s="26"/>
      <c r="C65" s="8"/>
      <c r="D65" s="19"/>
      <c r="E65" s="13"/>
      <c r="F65" s="12"/>
      <c r="G65" s="20"/>
      <c r="H65" s="34"/>
      <c r="I65" s="29"/>
      <c r="J65" s="6"/>
      <c r="K65" s="9"/>
    </row>
    <row r="66" spans="1:11" ht="15">
      <c r="A66" s="39"/>
      <c r="B66" s="26"/>
      <c r="C66" s="8"/>
      <c r="D66" s="19"/>
      <c r="E66" s="13"/>
      <c r="F66" s="12"/>
      <c r="G66" s="20"/>
      <c r="H66" s="34"/>
      <c r="I66" s="29"/>
      <c r="J66" s="6"/>
      <c r="K66" s="9"/>
    </row>
    <row r="67" spans="1:11" ht="15">
      <c r="A67" s="39"/>
      <c r="B67" s="26"/>
      <c r="C67" s="8"/>
      <c r="D67" s="19"/>
      <c r="E67" s="13"/>
      <c r="F67" s="12"/>
      <c r="G67" s="20"/>
      <c r="H67" s="34"/>
      <c r="I67" s="29"/>
      <c r="J67" s="6"/>
      <c r="K67" s="9"/>
    </row>
    <row r="68" spans="1:11" ht="15">
      <c r="A68" s="39"/>
      <c r="B68" s="26"/>
      <c r="C68" s="8"/>
      <c r="D68" s="19"/>
      <c r="E68" s="13"/>
      <c r="F68" s="12"/>
      <c r="G68" s="20"/>
      <c r="H68" s="34"/>
      <c r="I68" s="29"/>
      <c r="J68" s="6"/>
      <c r="K68" s="9"/>
    </row>
    <row r="69" spans="1:11" ht="15">
      <c r="A69" s="40"/>
      <c r="B69" s="26"/>
      <c r="C69" s="8"/>
      <c r="D69" s="19"/>
      <c r="E69" s="13"/>
      <c r="F69" s="12"/>
      <c r="G69" s="20"/>
      <c r="H69" s="34"/>
      <c r="I69" s="29"/>
      <c r="J69" s="6"/>
      <c r="K69" s="9"/>
    </row>
    <row r="70" spans="1:11" ht="15">
      <c r="A70" s="40"/>
      <c r="B70" s="18"/>
      <c r="C70" s="8"/>
      <c r="D70" s="19"/>
      <c r="E70" s="13"/>
      <c r="F70" s="12"/>
      <c r="G70" s="20"/>
      <c r="H70" s="34"/>
      <c r="I70" s="29"/>
      <c r="J70" s="6"/>
      <c r="K70" s="9"/>
    </row>
    <row r="71" spans="1:5" ht="15">
      <c r="A71" s="41"/>
      <c r="B71" s="1">
        <f>SUM(B4:B70)</f>
        <v>3.98</v>
      </c>
      <c r="E71" s="2">
        <f>SUM(E4:E70)</f>
        <v>700.4799999999999</v>
      </c>
    </row>
    <row r="72" ht="15">
      <c r="A72" s="41"/>
    </row>
    <row r="73" ht="15">
      <c r="A73" s="41"/>
    </row>
    <row r="74" ht="15">
      <c r="A74" s="41"/>
    </row>
    <row r="75" ht="15">
      <c r="A75" s="41"/>
    </row>
    <row r="76" ht="15">
      <c r="A76" s="41"/>
    </row>
    <row r="77" ht="15">
      <c r="A77" s="41"/>
    </row>
    <row r="78" ht="15">
      <c r="A78" s="41"/>
    </row>
    <row r="79" ht="15">
      <c r="A79" s="41"/>
    </row>
    <row r="80" ht="15">
      <c r="A80" s="41"/>
    </row>
    <row r="81" ht="15">
      <c r="A81" s="41"/>
    </row>
    <row r="82" ht="15">
      <c r="A82" s="41"/>
    </row>
    <row r="83" ht="15">
      <c r="A83" s="41"/>
    </row>
    <row r="84" ht="15">
      <c r="A84" s="41"/>
    </row>
    <row r="85" ht="15">
      <c r="A85" s="41"/>
    </row>
    <row r="86" ht="15">
      <c r="A86" s="41"/>
    </row>
    <row r="87" ht="15">
      <c r="A87" s="41"/>
    </row>
    <row r="88" ht="15">
      <c r="A88" s="41"/>
    </row>
    <row r="89" ht="15">
      <c r="A89" s="41"/>
    </row>
    <row r="90" ht="15">
      <c r="A90" s="41"/>
    </row>
    <row r="91" ht="15">
      <c r="A91" s="41"/>
    </row>
    <row r="92" ht="15">
      <c r="A92" s="41"/>
    </row>
    <row r="93" ht="15">
      <c r="A93" s="41"/>
    </row>
    <row r="94" ht="15">
      <c r="A94" s="41"/>
    </row>
    <row r="95" ht="15">
      <c r="A95" s="41"/>
    </row>
    <row r="96" ht="15">
      <c r="A96" s="41"/>
    </row>
    <row r="97" ht="15">
      <c r="A97" s="41"/>
    </row>
    <row r="98" ht="15">
      <c r="A98" s="41"/>
    </row>
    <row r="99" ht="15">
      <c r="A99" s="41"/>
    </row>
    <row r="100" ht="15">
      <c r="A100" s="41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  <row r="107" ht="15">
      <c r="A107" s="41"/>
    </row>
    <row r="108" ht="15">
      <c r="A108" s="41"/>
    </row>
    <row r="109" ht="15">
      <c r="A109" s="41"/>
    </row>
    <row r="110" ht="15">
      <c r="A110" s="41"/>
    </row>
    <row r="111" ht="15">
      <c r="A111" s="41"/>
    </row>
    <row r="112" ht="15">
      <c r="A112" s="41"/>
    </row>
    <row r="113" ht="15">
      <c r="A113" s="41"/>
    </row>
    <row r="114" ht="15">
      <c r="A114" s="41"/>
    </row>
    <row r="115" ht="15">
      <c r="A115" s="41"/>
    </row>
    <row r="116" ht="15">
      <c r="A116" s="41"/>
    </row>
    <row r="117" ht="15">
      <c r="A117" s="41"/>
    </row>
    <row r="118" ht="15">
      <c r="A118" s="41"/>
    </row>
    <row r="119" ht="15">
      <c r="A119" s="41"/>
    </row>
    <row r="120" ht="15">
      <c r="A120" s="41"/>
    </row>
    <row r="121" ht="15">
      <c r="A121" s="41"/>
    </row>
    <row r="122" ht="15">
      <c r="A122" s="41"/>
    </row>
    <row r="123" ht="15">
      <c r="A123" s="41"/>
    </row>
    <row r="124" ht="15">
      <c r="A124" s="41"/>
    </row>
    <row r="125" ht="15">
      <c r="A125" s="41"/>
    </row>
    <row r="126" ht="15">
      <c r="A126" s="41"/>
    </row>
    <row r="127" ht="15">
      <c r="A127" s="41"/>
    </row>
    <row r="128" ht="15">
      <c r="A128" s="41"/>
    </row>
    <row r="129" ht="15">
      <c r="A129" s="41"/>
    </row>
    <row r="130" ht="15">
      <c r="A130" s="41"/>
    </row>
    <row r="131" ht="15">
      <c r="A131" s="41"/>
    </row>
    <row r="132" ht="15">
      <c r="A132" s="41"/>
    </row>
    <row r="133" ht="15">
      <c r="A133" s="41"/>
    </row>
    <row r="134" ht="15">
      <c r="A134" s="41"/>
    </row>
    <row r="135" ht="15">
      <c r="A135" s="41"/>
    </row>
    <row r="136" ht="15">
      <c r="A136" s="41"/>
    </row>
    <row r="137" ht="15">
      <c r="A137" s="41"/>
    </row>
    <row r="138" ht="15">
      <c r="A138" s="41"/>
    </row>
    <row r="139" ht="15">
      <c r="A139" s="41"/>
    </row>
    <row r="140" ht="15">
      <c r="A140" s="41"/>
    </row>
    <row r="141" ht="15">
      <c r="A141" s="41"/>
    </row>
    <row r="142" ht="15">
      <c r="A142" s="41"/>
    </row>
    <row r="143" ht="15">
      <c r="A143" s="41"/>
    </row>
    <row r="144" ht="15">
      <c r="A144" s="41"/>
    </row>
    <row r="145" ht="15">
      <c r="A145" s="41"/>
    </row>
    <row r="146" ht="15">
      <c r="A146" s="41"/>
    </row>
    <row r="147" ht="15">
      <c r="A147" s="41"/>
    </row>
    <row r="148" ht="15">
      <c r="A148" s="41"/>
    </row>
    <row r="149" ht="15">
      <c r="A149" s="41"/>
    </row>
    <row r="150" ht="15">
      <c r="A150" s="41"/>
    </row>
    <row r="151" ht="15">
      <c r="A151" s="41"/>
    </row>
    <row r="152" ht="15">
      <c r="A152" s="41"/>
    </row>
    <row r="153" ht="15">
      <c r="A153" s="41"/>
    </row>
    <row r="154" ht="15">
      <c r="A154" s="41"/>
    </row>
    <row r="155" ht="15">
      <c r="A155" s="41"/>
    </row>
    <row r="156" ht="15">
      <c r="A156" s="41"/>
    </row>
    <row r="157" ht="15">
      <c r="A157" s="41"/>
    </row>
    <row r="158" ht="15">
      <c r="A158" s="41"/>
    </row>
    <row r="159" ht="15">
      <c r="A159" s="41"/>
    </row>
    <row r="160" ht="15">
      <c r="A160" s="41"/>
    </row>
    <row r="161" ht="15">
      <c r="A161" s="41"/>
    </row>
    <row r="162" ht="15">
      <c r="A162" s="41"/>
    </row>
    <row r="163" ht="15">
      <c r="A163" s="41"/>
    </row>
    <row r="164" ht="15">
      <c r="A164" s="41"/>
    </row>
    <row r="165" ht="15">
      <c r="A165" s="41"/>
    </row>
    <row r="166" ht="15">
      <c r="A166" s="41"/>
    </row>
    <row r="167" ht="15">
      <c r="A167" s="41"/>
    </row>
    <row r="168" ht="15">
      <c r="A168" s="41"/>
    </row>
    <row r="169" ht="15">
      <c r="A169" s="41"/>
    </row>
    <row r="170" ht="15">
      <c r="A170" s="41"/>
    </row>
    <row r="171" ht="15">
      <c r="A171" s="41"/>
    </row>
    <row r="172" ht="15">
      <c r="A172" s="41"/>
    </row>
    <row r="173" ht="15">
      <c r="A173" s="41"/>
    </row>
    <row r="174" ht="15">
      <c r="A174" s="41"/>
    </row>
    <row r="175" ht="15">
      <c r="A175" s="41"/>
    </row>
    <row r="176" ht="15">
      <c r="A176" s="41"/>
    </row>
    <row r="177" ht="15">
      <c r="A177" s="41"/>
    </row>
    <row r="178" ht="15">
      <c r="A178" s="41"/>
    </row>
    <row r="179" ht="15">
      <c r="A179" s="41"/>
    </row>
    <row r="180" ht="15">
      <c r="A180" s="41"/>
    </row>
    <row r="181" ht="15">
      <c r="A181" s="41"/>
    </row>
    <row r="182" ht="15">
      <c r="A182" s="41"/>
    </row>
    <row r="183" ht="15">
      <c r="A183" s="41"/>
    </row>
    <row r="184" ht="15">
      <c r="A184" s="41"/>
    </row>
    <row r="185" ht="15">
      <c r="A185" s="41"/>
    </row>
    <row r="186" ht="15">
      <c r="A186" s="41"/>
    </row>
    <row r="187" ht="15">
      <c r="A187" s="41"/>
    </row>
    <row r="188" ht="15">
      <c r="A188" s="41"/>
    </row>
    <row r="189" ht="15">
      <c r="A189" s="41"/>
    </row>
    <row r="190" ht="15">
      <c r="A190" s="41"/>
    </row>
    <row r="191" ht="15">
      <c r="A191" s="41"/>
    </row>
    <row r="192" ht="15">
      <c r="A192" s="41"/>
    </row>
    <row r="193" ht="15">
      <c r="A193" s="41"/>
    </row>
    <row r="194" ht="15">
      <c r="A194" s="41"/>
    </row>
    <row r="195" ht="15">
      <c r="A195" s="41"/>
    </row>
    <row r="196" ht="15">
      <c r="A196" s="41"/>
    </row>
    <row r="197" ht="15">
      <c r="A197" s="41"/>
    </row>
    <row r="198" ht="15">
      <c r="A198" s="41"/>
    </row>
    <row r="199" ht="15">
      <c r="A199" s="41"/>
    </row>
    <row r="200" ht="15">
      <c r="A200" s="41"/>
    </row>
    <row r="201" ht="15">
      <c r="A201" s="41"/>
    </row>
    <row r="202" ht="15">
      <c r="A202" s="41"/>
    </row>
    <row r="203" ht="15">
      <c r="A203" s="41"/>
    </row>
    <row r="204" ht="15">
      <c r="A204" s="41"/>
    </row>
    <row r="205" ht="15">
      <c r="A205" s="41"/>
    </row>
    <row r="206" ht="15">
      <c r="A206" s="41"/>
    </row>
    <row r="207" ht="15">
      <c r="A207" s="41"/>
    </row>
    <row r="208" ht="15">
      <c r="A208" s="41"/>
    </row>
    <row r="209" ht="15">
      <c r="A209" s="41"/>
    </row>
    <row r="210" ht="15">
      <c r="A210" s="41"/>
    </row>
    <row r="211" ht="15">
      <c r="A211" s="41"/>
    </row>
    <row r="212" ht="15">
      <c r="A212" s="41"/>
    </row>
    <row r="213" ht="15">
      <c r="A213" s="41"/>
    </row>
    <row r="214" ht="15">
      <c r="A214" s="41"/>
    </row>
    <row r="215" ht="15">
      <c r="A215" s="41"/>
    </row>
    <row r="216" ht="15">
      <c r="A216" s="41"/>
    </row>
    <row r="217" ht="15">
      <c r="A217" s="41"/>
    </row>
    <row r="218" ht="15">
      <c r="A218" s="41"/>
    </row>
    <row r="219" ht="15">
      <c r="A219" s="41"/>
    </row>
    <row r="220" ht="15">
      <c r="A220" s="41"/>
    </row>
    <row r="221" ht="15">
      <c r="A221" s="41"/>
    </row>
    <row r="222" ht="15">
      <c r="A222" s="41"/>
    </row>
    <row r="223" ht="15">
      <c r="A223" s="41"/>
    </row>
    <row r="224" ht="15">
      <c r="A224" s="41"/>
    </row>
    <row r="225" ht="15">
      <c r="A225" s="41"/>
    </row>
    <row r="226" ht="15">
      <c r="A226" s="41"/>
    </row>
    <row r="227" ht="15">
      <c r="A227" s="41"/>
    </row>
    <row r="228" ht="15">
      <c r="A228" s="41"/>
    </row>
    <row r="229" ht="15">
      <c r="A229" s="41"/>
    </row>
    <row r="230" ht="15">
      <c r="A230" s="41"/>
    </row>
    <row r="231" ht="15">
      <c r="A231" s="41"/>
    </row>
    <row r="232" ht="15">
      <c r="A232" s="41"/>
    </row>
    <row r="233" ht="15">
      <c r="A233" s="41"/>
    </row>
    <row r="234" ht="15">
      <c r="A234" s="41"/>
    </row>
    <row r="235" ht="15">
      <c r="A235" s="41"/>
    </row>
    <row r="236" ht="15">
      <c r="A236" s="41"/>
    </row>
    <row r="237" ht="15">
      <c r="A237" s="41"/>
    </row>
    <row r="238" ht="15">
      <c r="A238" s="41"/>
    </row>
    <row r="239" ht="15">
      <c r="A239" s="41"/>
    </row>
    <row r="240" ht="15">
      <c r="A240" s="41"/>
    </row>
    <row r="241" ht="15">
      <c r="A241" s="41"/>
    </row>
    <row r="242" ht="15">
      <c r="A242" s="41"/>
    </row>
    <row r="243" ht="15">
      <c r="A243" s="41"/>
    </row>
    <row r="244" ht="15">
      <c r="A244" s="41"/>
    </row>
    <row r="245" ht="15">
      <c r="A245" s="41"/>
    </row>
    <row r="246" ht="15">
      <c r="A246" s="41"/>
    </row>
    <row r="247" ht="15">
      <c r="A247" s="41"/>
    </row>
    <row r="248" ht="15">
      <c r="A248" s="41"/>
    </row>
    <row r="249" ht="15">
      <c r="A249" s="41"/>
    </row>
    <row r="250" ht="15">
      <c r="A250" s="41"/>
    </row>
    <row r="251" ht="15">
      <c r="A251" s="41"/>
    </row>
    <row r="252" ht="15">
      <c r="A252" s="41"/>
    </row>
    <row r="253" ht="15">
      <c r="A253" s="41"/>
    </row>
    <row r="254" ht="15">
      <c r="A254" s="41"/>
    </row>
    <row r="255" ht="15">
      <c r="A255" s="41"/>
    </row>
    <row r="256" ht="15">
      <c r="A256" s="41"/>
    </row>
    <row r="257" ht="15">
      <c r="A257" s="41"/>
    </row>
    <row r="258" ht="15">
      <c r="A258" s="41"/>
    </row>
    <row r="259" ht="15">
      <c r="A259" s="41"/>
    </row>
    <row r="260" ht="15">
      <c r="A260" s="41"/>
    </row>
    <row r="261" ht="15">
      <c r="A261" s="41"/>
    </row>
    <row r="262" ht="15">
      <c r="A262" s="41"/>
    </row>
    <row r="263" ht="15">
      <c r="A263" s="41"/>
    </row>
    <row r="264" ht="15">
      <c r="A264" s="41"/>
    </row>
    <row r="265" ht="15">
      <c r="A265" s="41"/>
    </row>
    <row r="266" ht="15">
      <c r="A266" s="41"/>
    </row>
    <row r="267" ht="15">
      <c r="A267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2013-07-03T17:24:19Z</dcterms:modified>
  <cp:category/>
  <cp:version/>
  <cp:contentType/>
  <cp:contentStatus/>
</cp:coreProperties>
</file>