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5183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<sst xmlns="http://schemas.openxmlformats.org/spreadsheetml/2006/main" count="81" uniqueCount="74">
  <si>
    <t>УЗ</t>
  </si>
  <si>
    <t>Заказ</t>
  </si>
  <si>
    <t>Кол-во</t>
  </si>
  <si>
    <t>%</t>
  </si>
  <si>
    <t>Стоимость</t>
  </si>
  <si>
    <t>Tani1405</t>
  </si>
  <si>
    <t>электрический дверной звонок "Гамма-7" беспроводной (не менее 120м), 3V, 36 полифонических мелодий</t>
  </si>
  <si>
    <t>*Олюня*</t>
  </si>
  <si>
    <t>Комплект для мясорубки (нож+решетка) "НАБОР УНИВЕРСАЛЬНЫЙ"</t>
  </si>
  <si>
    <t>Сушилка для белья "Лиана-Люкс" 1,8м (5 стержней) упаковка- полиэтилен</t>
  </si>
  <si>
    <t>Lyuba L.</t>
  </si>
  <si>
    <t>Электрочайник KELLI дисковый KL-1431 1.7л 1800Вт керамический</t>
  </si>
  <si>
    <t>Этажерка для обуви ЭТ1 "Ника" (широкая) 4-х уровневая на 4 полки (металлокаркас) г.Ижевск цвет светлый</t>
  </si>
  <si>
    <t>ЛарИва</t>
  </si>
  <si>
    <t>Орехокол алюминиевый конусный НИКИФОРОВ (щипцы конусные для колки орехов) Арт.7056.1 г.Харьков</t>
  </si>
  <si>
    <t>Набор юного рыбака</t>
  </si>
  <si>
    <t>Табурет "ПРЕСТИЖ" ТПР1 (коричневый) на 4-х опорах с ободом</t>
  </si>
  <si>
    <t>Natka74</t>
  </si>
  <si>
    <t>Чехол для гладильной доски ЧПА3 АНТИПРИГАРНЫЙ С ПОРОЛОНОМ 1290х530мм (с поролоном, тефлон) г.Ижевск НИКА</t>
  </si>
  <si>
    <t>барабуха</t>
  </si>
  <si>
    <t>Форма силиконовая КАТУНЬ 6 КЕКСОВ №1 26.5x18.0x2.7см для выпечки Арт.KT-S-302</t>
  </si>
  <si>
    <t>Табурет складной пластмассовый ТС 001/023 (высота 230мм) г.Бердск</t>
  </si>
  <si>
    <t>ПроМася</t>
  </si>
  <si>
    <t>Чехол универсальный с поролоном 1290х500 (ЧП2)</t>
  </si>
  <si>
    <t>Olga F</t>
  </si>
  <si>
    <t>Ночник "Звездное небо" IRM-400</t>
  </si>
  <si>
    <t>IrishSummer</t>
  </si>
  <si>
    <t>Чехол д/гладильной доски ЧПА3 АНТИПРИГАРНЫЙ С ПОРОЛОНОМ 1290х530мм (с поролоном, тефлон)</t>
  </si>
  <si>
    <t>Табурет складной пластмассовый ТС 001/023 (высота 230мм)</t>
  </si>
  <si>
    <t>NataSik</t>
  </si>
  <si>
    <t>Табурет "ФАВОРИТ" ТФ03 (коричневый) на 4-х опорах, сиденье квадрат 320х320мм, винилискожа</t>
  </si>
  <si>
    <t>Кубышка-Травница</t>
  </si>
  <si>
    <t>Чехол для гладильной доски ЧПА3 АНТИПРИГАРНЫЙ С ПОРОЛОНОМ 1290х530мм (с поролоном, тефлон) г.Ижевск</t>
  </si>
  <si>
    <t>Анита-Сан</t>
  </si>
  <si>
    <t>Чехол для гладильной доски ЧП1 1290х395 мм (с поролоном, бязь) г.Ижевск</t>
  </si>
  <si>
    <t>Алла2013</t>
  </si>
  <si>
    <t>Барометр "УТЕС" БТК-СН-17 "шлифованное золото" с термометром (корпус-дерево, диам.175/130мм, откр.механизм)</t>
  </si>
  <si>
    <t>Варёнок</t>
  </si>
  <si>
    <t>Чехол универсальный с поролоном 1290х395 (ЧП1)</t>
  </si>
  <si>
    <t>Мольберт детский двусторонний НИКА М2 "Растущий" с большим пеналом и магнитной азбукой</t>
  </si>
  <si>
    <t>Narisha</t>
  </si>
  <si>
    <t>Сумка на колесах IRIT IRS-04 складная (54х31х14см)</t>
  </si>
  <si>
    <t>Этажерка для обуви ЭТ1 "Ника" (широкая) 4-х уровневая на 4 полки (металлокаркас) г.Ижевск</t>
  </si>
  <si>
    <t>Табурет "КЛАССИКА" ТК02 (сиреневый) на 4-х опорах, сиденье круглое 320мм, фанера, винилискожа</t>
  </si>
  <si>
    <t>Мирослав и Юля</t>
  </si>
  <si>
    <t>Табурет "КЛАССИКА" ТК03 (слоновая кость) на 4-х опорах, сиденье квадрат 320х320мм, фанера, винилискожа</t>
  </si>
  <si>
    <t>электрический дверной звонок "Чистон-12" (батареечный, 9 мелодий, с кнопкой)</t>
  </si>
  <si>
    <t>ералаш</t>
  </si>
  <si>
    <t>Эпилятор Remington EP7010 E51, сетевой, 40 пинцетов</t>
  </si>
  <si>
    <t>Измельчитель для овощей "SUPRA" CHS-1080</t>
  </si>
  <si>
    <t>sancho-lida</t>
  </si>
  <si>
    <t>Термогигрометр универсальный СТЕКЛОПРИБОР ТГК-2 от-30 до +50C (термометр универсальный с гигрометром) Серия Качество жизни</t>
  </si>
  <si>
    <t>Окс1978</t>
  </si>
  <si>
    <t>Дуршлаг на ножке КАТУНЬ "Кухня" из нержавеющей стали 4.00л диам.29см Арт.0032</t>
  </si>
  <si>
    <t>Сушилка для белья "Лиана-Люкс" 3,0м (5 стержней) упаковка- полиэтилен</t>
  </si>
  <si>
    <t>Сушилка для белья СБ3Б напольная складная (10м сушильного полотна, каркас - белый) г.Ижевск</t>
  </si>
  <si>
    <t>Табурет "ЭЛИТ" ТЭЛ1 (голубой) на 4-х опорах с ободом, сиденье винилискожа, круглое 320мм</t>
  </si>
  <si>
    <t>Этажерка для обуви ЭТ3 "Ника" (низкая) 2-х уровневая на 2 полки (металлокаркас) г.Ижевск под бронзу</t>
  </si>
  <si>
    <t>Доска гладильная "БЕЛЛЬ-ЮНИОР-1 Тефлон" (БЮТ1) 1120х345мм</t>
  </si>
  <si>
    <t>Комплект для капельного полива "ЖУК" от ЁМКОСТИ "ТЕПЛИЧНЫЙ С ТАЙМЕРОМ" (полив 60 растений на площади 18 кв.м.)</t>
  </si>
  <si>
    <t>ОБЪЕМ</t>
  </si>
  <si>
    <t>ВЕС</t>
  </si>
  <si>
    <t>табуреты</t>
  </si>
  <si>
    <t>за 1шт</t>
  </si>
  <si>
    <t>коробка</t>
  </si>
  <si>
    <t>Стоимость доставки 3120,9р, Объем 0,68м.куб</t>
  </si>
  <si>
    <t>коробка1</t>
  </si>
  <si>
    <t>коробка2</t>
  </si>
  <si>
    <t>Миски 2шт</t>
  </si>
  <si>
    <t>м.куб</t>
  </si>
  <si>
    <t>Корректировка по объему коробки</t>
  </si>
  <si>
    <t>ТР/шт</t>
  </si>
  <si>
    <t>ТР итого</t>
  </si>
  <si>
    <t>Об.коробки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</si>
</sst>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&quot;р.&quot;"/>
  </numFmts>
  <fonts count="5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43" fillId="0" borderId="0" xfId="0" applyNumberFormat="1" applyFont="1" applyFill="1" applyAlignment="1" applyProtection="1">
      <alignment/>
      <protection/>
    </xf>
    <xf numFmtId="2" fontId="4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45" fillId="0" borderId="0" xfId="0" applyNumberFormat="1" applyFont="1" applyFill="1" applyAlignment="1" applyProtection="1">
      <alignment/>
      <protection/>
    </xf>
    <xf numFmtId="2" fontId="46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2" fontId="43" fillId="0" borderId="10" xfId="0" applyNumberFormat="1" applyFont="1" applyFill="1" applyBorder="1" applyAlignment="1" applyProtection="1">
      <alignment/>
      <protection/>
    </xf>
    <xf numFmtId="166" fontId="44" fillId="0" borderId="0" xfId="0" applyNumberFormat="1" applyFont="1" applyFill="1" applyAlignment="1" applyProtection="1">
      <alignment/>
      <protection/>
    </xf>
    <xf numFmtId="166" fontId="43" fillId="0" borderId="10" xfId="0" applyNumberFormat="1" applyFont="1" applyFill="1" applyBorder="1" applyAlignment="1" applyProtection="1">
      <alignment/>
      <protection/>
    </xf>
    <xf numFmtId="166" fontId="47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65" fontId="0" fillId="0" borderId="10" xfId="0" applyNumberFormat="1" applyFont="1" applyFill="1" applyBorder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/>
      <protection/>
    </xf>
    <xf numFmtId="166" fontId="48" fillId="0" borderId="10" xfId="0" applyNumberFormat="1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0" fontId="0" fillId="7" borderId="10" xfId="0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/>
      <protection/>
    </xf>
    <xf numFmtId="2" fontId="50" fillId="0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workbookViewId="0" topLeftCell="B1">
      <selection activeCell="P18" sqref="P18"/>
    </sheetView>
  </sheetViews>
  <sheetFormatPr defaultColWidth="9.140625" defaultRowHeight="12.75"/>
  <cols>
    <col min="1" max="1" width="15.00390625" style="0" customWidth="1"/>
    <col min="2" max="2" width="61.140625" style="0" customWidth="1"/>
    <col min="3" max="3" width="7.00390625" style="24" customWidth="1"/>
    <col min="4" max="4" width="10.57421875" style="12" customWidth="1"/>
    <col min="5" max="5" width="16.7109375" style="12" customWidth="1"/>
    <col min="6" max="6" width="8.57421875" style="4" customWidth="1"/>
    <col min="7" max="7" width="8.57421875" style="20" customWidth="1"/>
    <col min="8" max="9" width="8.57421875" style="4" hidden="1" customWidth="1"/>
    <col min="10" max="10" width="9.00390625" style="0" hidden="1" customWidth="1"/>
    <col min="11" max="11" width="11.00390625" style="0" hidden="1" customWidth="1"/>
    <col min="12" max="14" width="0" style="0" hidden="1" customWidth="1"/>
    <col min="17" max="17" width="9.140625" style="9" customWidth="1"/>
  </cols>
  <sheetData>
    <row r="1" spans="2:5" ht="12.75">
      <c r="B1" s="5" t="s">
        <v>65</v>
      </c>
      <c r="C1" s="6"/>
      <c r="D1" s="6"/>
      <c r="E1" s="6"/>
    </row>
    <row r="3" spans="1:17" s="1" customFormat="1" ht="22.5">
      <c r="A3" s="1" t="s">
        <v>0</v>
      </c>
      <c r="B3" s="14" t="s">
        <v>1</v>
      </c>
      <c r="C3" s="14" t="s">
        <v>2</v>
      </c>
      <c r="D3" s="15" t="s">
        <v>60</v>
      </c>
      <c r="E3" s="31" t="s">
        <v>70</v>
      </c>
      <c r="F3" s="32" t="s">
        <v>71</v>
      </c>
      <c r="G3" s="33" t="s">
        <v>72</v>
      </c>
      <c r="H3" s="8" t="s">
        <v>61</v>
      </c>
      <c r="I3" s="8"/>
      <c r="J3" s="1" t="s">
        <v>3</v>
      </c>
      <c r="K3" s="1" t="s">
        <v>4</v>
      </c>
      <c r="L3" s="1">
        <v>3000</v>
      </c>
      <c r="M3" s="1" t="e">
        <f>SUM(#REF!)</f>
        <v>#REF!</v>
      </c>
      <c r="N3" s="1" t="e">
        <f>L3/M3</f>
        <v>#REF!</v>
      </c>
      <c r="Q3" s="11"/>
    </row>
    <row r="4" spans="1:14" ht="12.75">
      <c r="A4" t="s">
        <v>35</v>
      </c>
      <c r="B4" s="16" t="s">
        <v>36</v>
      </c>
      <c r="C4" s="25">
        <v>1</v>
      </c>
      <c r="D4" s="18">
        <f>0.2*0.19*0.07</f>
        <v>0.0026600000000000005</v>
      </c>
      <c r="E4" s="18">
        <f>D4*0.1382/0.1129</f>
        <v>0.003256085031000886</v>
      </c>
      <c r="F4" s="19">
        <f>D4*3628.895</f>
        <v>9.652860700000002</v>
      </c>
      <c r="G4" s="21">
        <f>F4*C4</f>
        <v>9.652860700000002</v>
      </c>
      <c r="H4" s="7" t="e">
        <f>41.66667*#REF!</f>
        <v>#REF!</v>
      </c>
      <c r="I4" s="7" t="e">
        <f>H4*C4</f>
        <v>#REF!</v>
      </c>
      <c r="J4" s="2" t="e">
        <f>#REF!-#REF!</f>
        <v>#REF!</v>
      </c>
      <c r="K4">
        <v>1804</v>
      </c>
      <c r="L4" s="2" t="e">
        <f>K4+#REF!</f>
        <v>#REF!</v>
      </c>
      <c r="M4">
        <v>0.86</v>
      </c>
      <c r="N4">
        <f>L3/M4</f>
        <v>3488.3720930232557</v>
      </c>
    </row>
    <row r="5" spans="1:17" ht="12.75">
      <c r="A5" t="s">
        <v>29</v>
      </c>
      <c r="B5" s="16" t="s">
        <v>53</v>
      </c>
      <c r="C5" s="25">
        <v>1</v>
      </c>
      <c r="D5" s="18">
        <f>0.29*0.36*0.12</f>
        <v>0.012528</v>
      </c>
      <c r="E5" s="18">
        <f aca="true" t="shared" si="0" ref="E5:E25">D5*0.1382/0.1129</f>
        <v>0.015335426040744018</v>
      </c>
      <c r="F5" s="19">
        <f aca="true" t="shared" si="1" ref="F5:F25">D5*3628.895</f>
        <v>45.462796559999994</v>
      </c>
      <c r="G5" s="21">
        <f>F5*C5</f>
        <v>45.462796559999994</v>
      </c>
      <c r="H5" s="7" t="e">
        <f>41.66667*#REF!</f>
        <v>#REF!</v>
      </c>
      <c r="I5" s="7" t="e">
        <f>H5*C5</f>
        <v>#REF!</v>
      </c>
      <c r="J5" s="2" t="e">
        <f>#REF!-#REF!</f>
        <v>#REF!</v>
      </c>
      <c r="K5">
        <v>196</v>
      </c>
      <c r="L5" s="2" t="e">
        <f>K5+#REF!</f>
        <v>#REF!</v>
      </c>
      <c r="P5" s="5" t="s">
        <v>66</v>
      </c>
      <c r="Q5" s="9">
        <f>0.41*0.48*0.37</f>
        <v>0.07281599999999999</v>
      </c>
    </row>
    <row r="6" spans="1:17" ht="12.75">
      <c r="A6" t="s">
        <v>47</v>
      </c>
      <c r="B6" s="16" t="s">
        <v>49</v>
      </c>
      <c r="C6" s="25">
        <v>1</v>
      </c>
      <c r="D6" s="18">
        <f>0.145*0.145*0.23</f>
        <v>0.00483575</v>
      </c>
      <c r="E6" s="18">
        <f t="shared" si="0"/>
        <v>0.0059194034543844105</v>
      </c>
      <c r="F6" s="19">
        <f t="shared" si="1"/>
        <v>17.54842899625</v>
      </c>
      <c r="G6" s="21">
        <f>F6*C6</f>
        <v>17.54842899625</v>
      </c>
      <c r="H6" s="7" t="e">
        <f>41.66667*#REF!</f>
        <v>#REF!</v>
      </c>
      <c r="I6" s="7" t="e">
        <f>H6*C6</f>
        <v>#REF!</v>
      </c>
      <c r="J6" s="2" t="e">
        <f>#REF!-#REF!</f>
        <v>#REF!</v>
      </c>
      <c r="K6">
        <v>1359</v>
      </c>
      <c r="L6" s="2" t="e">
        <f>K6+#REF!</f>
        <v>#REF!</v>
      </c>
      <c r="P6" s="5" t="s">
        <v>67</v>
      </c>
      <c r="Q6" s="9">
        <f>0.45*0.44*0.33</f>
        <v>0.06534000000000001</v>
      </c>
    </row>
    <row r="7" spans="1:17" ht="12.75">
      <c r="A7" t="s">
        <v>52</v>
      </c>
      <c r="B7" s="16" t="s">
        <v>59</v>
      </c>
      <c r="C7" s="25">
        <v>1</v>
      </c>
      <c r="D7" s="18">
        <f>0.38*0.4*0.135</f>
        <v>0.020520000000000004</v>
      </c>
      <c r="E7" s="18">
        <f t="shared" si="0"/>
        <v>0.025118370239149694</v>
      </c>
      <c r="F7" s="19">
        <f t="shared" si="1"/>
        <v>74.46492540000001</v>
      </c>
      <c r="G7" s="21">
        <f>F7*C7</f>
        <v>74.46492540000001</v>
      </c>
      <c r="H7" s="7" t="e">
        <f>41.66667*#REF!</f>
        <v>#REF!</v>
      </c>
      <c r="I7" s="7" t="e">
        <f>H7*C7</f>
        <v>#REF!</v>
      </c>
      <c r="J7" s="2" t="e">
        <f>#REF!-#REF!</f>
        <v>#REF!</v>
      </c>
      <c r="K7">
        <v>3059</v>
      </c>
      <c r="L7" s="2" t="e">
        <f>K7+#REF!</f>
        <v>#REF!</v>
      </c>
      <c r="P7" s="5" t="s">
        <v>73</v>
      </c>
      <c r="Q7" s="13">
        <f>Q5+Q6</f>
        <v>0.138156</v>
      </c>
    </row>
    <row r="8" spans="1:12" ht="12.75">
      <c r="A8" t="s">
        <v>7</v>
      </c>
      <c r="B8" s="16" t="s">
        <v>8</v>
      </c>
      <c r="C8" s="25">
        <v>1</v>
      </c>
      <c r="D8" s="18">
        <f>0.24*0.09*0.02</f>
        <v>0.000432</v>
      </c>
      <c r="E8" s="18">
        <f t="shared" si="0"/>
        <v>0.0005288077945084144</v>
      </c>
      <c r="F8" s="19">
        <f t="shared" si="1"/>
        <v>1.56768264</v>
      </c>
      <c r="G8" s="21">
        <f>F8*C8</f>
        <v>1.56768264</v>
      </c>
      <c r="H8" s="2">
        <v>6</v>
      </c>
      <c r="I8" s="7">
        <f>H8*C8</f>
        <v>6</v>
      </c>
      <c r="J8" s="2" t="e">
        <f>#REF!-#REF!</f>
        <v>#REF!</v>
      </c>
      <c r="K8">
        <v>581</v>
      </c>
      <c r="L8" s="2" t="e">
        <f>K8+#REF!</f>
        <v>#REF!</v>
      </c>
    </row>
    <row r="9" spans="1:12" ht="12.75">
      <c r="A9" t="s">
        <v>19</v>
      </c>
      <c r="B9" s="16" t="s">
        <v>68</v>
      </c>
      <c r="C9" s="25">
        <v>1</v>
      </c>
      <c r="D9" s="18">
        <f>0.33*0.33*0.1</f>
        <v>0.010890000000000002</v>
      </c>
      <c r="E9" s="18">
        <f t="shared" si="0"/>
        <v>0.013330363153232952</v>
      </c>
      <c r="F9" s="19">
        <f t="shared" si="1"/>
        <v>39.518666550000006</v>
      </c>
      <c r="G9" s="21">
        <f>F9*C9</f>
        <v>39.518666550000006</v>
      </c>
      <c r="H9" s="7" t="e">
        <f>41.66667*#REF!</f>
        <v>#REF!</v>
      </c>
      <c r="I9" s="7" t="e">
        <f>H9*C9</f>
        <v>#REF!</v>
      </c>
      <c r="J9" s="2" t="e">
        <f>#REF!-#REF!</f>
        <v>#REF!</v>
      </c>
      <c r="K9">
        <v>142</v>
      </c>
      <c r="L9" s="2" t="e">
        <f>K9+#REF!</f>
        <v>#REF!</v>
      </c>
    </row>
    <row r="10" spans="1:12" ht="12.75">
      <c r="A10" t="s">
        <v>13</v>
      </c>
      <c r="B10" s="17" t="s">
        <v>15</v>
      </c>
      <c r="C10" s="25">
        <v>1</v>
      </c>
      <c r="D10" s="18"/>
      <c r="E10" s="18">
        <f t="shared" si="0"/>
        <v>0</v>
      </c>
      <c r="F10" s="19">
        <f t="shared" si="1"/>
        <v>0</v>
      </c>
      <c r="G10" s="21">
        <f>F10*C10</f>
        <v>0</v>
      </c>
      <c r="H10" s="2">
        <v>2</v>
      </c>
      <c r="I10" s="7">
        <f>H10*C10</f>
        <v>2</v>
      </c>
      <c r="J10" s="2" t="e">
        <f>#REF!-#REF!</f>
        <v>#REF!</v>
      </c>
      <c r="K10">
        <v>14</v>
      </c>
      <c r="L10" s="2" t="e">
        <f>K10+#REF!</f>
        <v>#REF!</v>
      </c>
    </row>
    <row r="11" spans="1:12" ht="12.75">
      <c r="A11" t="s">
        <v>24</v>
      </c>
      <c r="B11" s="16" t="s">
        <v>25</v>
      </c>
      <c r="C11" s="25">
        <v>1</v>
      </c>
      <c r="D11" s="18">
        <f>0.12*0.12*0.13</f>
        <v>0.001872</v>
      </c>
      <c r="E11" s="18">
        <f t="shared" si="0"/>
        <v>0.002291500442869796</v>
      </c>
      <c r="F11" s="19">
        <f t="shared" si="1"/>
        <v>6.79329144</v>
      </c>
      <c r="G11" s="21">
        <f>F11*C11</f>
        <v>6.79329144</v>
      </c>
      <c r="H11" s="7" t="e">
        <f>41.66667*#REF!</f>
        <v>#REF!</v>
      </c>
      <c r="I11" s="7" t="e">
        <f>H11*C11</f>
        <v>#REF!</v>
      </c>
      <c r="J11" s="2" t="e">
        <f>#REF!-#REF!</f>
        <v>#REF!</v>
      </c>
      <c r="K11">
        <v>253</v>
      </c>
      <c r="L11" s="2" t="e">
        <f>K11+#REF!</f>
        <v>#REF!</v>
      </c>
    </row>
    <row r="12" spans="1:12" ht="12.75">
      <c r="A12" t="s">
        <v>13</v>
      </c>
      <c r="B12" s="16" t="s">
        <v>14</v>
      </c>
      <c r="C12" s="25">
        <v>1</v>
      </c>
      <c r="D12" s="18">
        <f>0.24*0.09*0.04</f>
        <v>0.000864</v>
      </c>
      <c r="E12" s="18">
        <f t="shared" si="0"/>
        <v>0.0010576155890168288</v>
      </c>
      <c r="F12" s="19">
        <f t="shared" si="1"/>
        <v>3.13536528</v>
      </c>
      <c r="G12" s="21">
        <f>F12*C12</f>
        <v>3.13536528</v>
      </c>
      <c r="H12" s="2">
        <v>15</v>
      </c>
      <c r="I12" s="7">
        <f>H12*C12</f>
        <v>15</v>
      </c>
      <c r="J12" s="2" t="e">
        <f>#REF!-#REF!</f>
        <v>#REF!</v>
      </c>
      <c r="K12">
        <v>67</v>
      </c>
      <c r="L12" s="2" t="e">
        <f>K12+#REF!</f>
        <v>#REF!</v>
      </c>
    </row>
    <row r="13" spans="1:12" ht="12.75">
      <c r="A13" t="s">
        <v>40</v>
      </c>
      <c r="B13" s="16" t="s">
        <v>41</v>
      </c>
      <c r="C13" s="25">
        <v>1</v>
      </c>
      <c r="D13" s="18">
        <f>0.33*0.18*0.06</f>
        <v>0.003564</v>
      </c>
      <c r="E13" s="18">
        <f t="shared" si="0"/>
        <v>0.0043626643046944195</v>
      </c>
      <c r="F13" s="19">
        <f t="shared" si="1"/>
        <v>12.93338178</v>
      </c>
      <c r="G13" s="21">
        <f>F13*C13</f>
        <v>12.93338178</v>
      </c>
      <c r="H13" s="7" t="e">
        <f>41.66667*#REF!</f>
        <v>#REF!</v>
      </c>
      <c r="I13" s="7" t="e">
        <f>H13*C13</f>
        <v>#REF!</v>
      </c>
      <c r="J13" s="2" t="e">
        <f>#REF!-#REF!</f>
        <v>#REF!</v>
      </c>
      <c r="K13">
        <v>219</v>
      </c>
      <c r="L13" s="2" t="e">
        <f>K13+#REF!</f>
        <v>#REF!</v>
      </c>
    </row>
    <row r="14" spans="1:12" ht="12.75">
      <c r="A14" t="s">
        <v>50</v>
      </c>
      <c r="B14" s="16" t="s">
        <v>51</v>
      </c>
      <c r="C14" s="25">
        <v>1</v>
      </c>
      <c r="D14" s="18">
        <f>0.111*0.15*0.03</f>
        <v>0.0004994999999999999</v>
      </c>
      <c r="E14" s="18">
        <f t="shared" si="0"/>
        <v>0.0006114340124003542</v>
      </c>
      <c r="F14" s="19">
        <f t="shared" si="1"/>
        <v>1.8126330524999998</v>
      </c>
      <c r="G14" s="21">
        <f>F14*C14</f>
        <v>1.8126330524999998</v>
      </c>
      <c r="H14" s="2">
        <v>6</v>
      </c>
      <c r="I14" s="7">
        <f>H14*C14</f>
        <v>6</v>
      </c>
      <c r="J14" s="2" t="e">
        <f>#REF!-#REF!</f>
        <v>#REF!</v>
      </c>
      <c r="K14">
        <v>154</v>
      </c>
      <c r="L14" s="2" t="e">
        <f>K14+#REF!</f>
        <v>#REF!</v>
      </c>
    </row>
    <row r="15" spans="1:12" ht="12.75">
      <c r="A15" t="s">
        <v>19</v>
      </c>
      <c r="B15" s="16" t="s">
        <v>20</v>
      </c>
      <c r="C15" s="25">
        <v>1</v>
      </c>
      <c r="D15" s="18">
        <f>0.28*0.18*0.04</f>
        <v>0.002016</v>
      </c>
      <c r="E15" s="18">
        <f t="shared" si="0"/>
        <v>0.002467769707705934</v>
      </c>
      <c r="F15" s="19">
        <f t="shared" si="1"/>
        <v>7.31585232</v>
      </c>
      <c r="G15" s="21">
        <f>F15*C15</f>
        <v>7.31585232</v>
      </c>
      <c r="H15" s="2">
        <v>8</v>
      </c>
      <c r="I15" s="7">
        <f>H15*C15</f>
        <v>8</v>
      </c>
      <c r="J15" s="2" t="e">
        <f>#REF!-#REF!</f>
        <v>#REF!</v>
      </c>
      <c r="K15">
        <v>135</v>
      </c>
      <c r="L15" s="2" t="e">
        <f>K15+#REF!</f>
        <v>#REF!</v>
      </c>
    </row>
    <row r="16" spans="1:12" ht="12.75">
      <c r="A16" t="s">
        <v>26</v>
      </c>
      <c r="B16" s="16" t="s">
        <v>27</v>
      </c>
      <c r="C16" s="25">
        <v>1</v>
      </c>
      <c r="D16" s="18">
        <f>0.25*0.38*0.06</f>
        <v>0.0057</v>
      </c>
      <c r="E16" s="18">
        <f t="shared" si="0"/>
        <v>0.006977325066430469</v>
      </c>
      <c r="F16" s="19">
        <f t="shared" si="1"/>
        <v>20.6847015</v>
      </c>
      <c r="G16" s="21">
        <f>F16*C16</f>
        <v>20.6847015</v>
      </c>
      <c r="H16" s="2">
        <v>16</v>
      </c>
      <c r="I16" s="7">
        <f>H16*C16</f>
        <v>16</v>
      </c>
      <c r="J16" s="2" t="e">
        <f>#REF!-#REF!</f>
        <v>#REF!</v>
      </c>
      <c r="K16">
        <v>241</v>
      </c>
      <c r="L16" s="2" t="e">
        <f>K16+#REF!</f>
        <v>#REF!</v>
      </c>
    </row>
    <row r="17" spans="1:12" ht="12.75">
      <c r="A17" t="s">
        <v>33</v>
      </c>
      <c r="B17" s="17" t="s">
        <v>34</v>
      </c>
      <c r="C17" s="25">
        <v>1</v>
      </c>
      <c r="D17" s="18">
        <f>0.25*0.38*0.06</f>
        <v>0.0057</v>
      </c>
      <c r="E17" s="18">
        <f t="shared" si="0"/>
        <v>0.006977325066430469</v>
      </c>
      <c r="F17" s="19">
        <f t="shared" si="1"/>
        <v>20.6847015</v>
      </c>
      <c r="G17" s="21">
        <f>F17*C17</f>
        <v>20.6847015</v>
      </c>
      <c r="H17" s="2">
        <v>16</v>
      </c>
      <c r="I17" s="7">
        <f>H17*C17</f>
        <v>16</v>
      </c>
      <c r="J17" s="2" t="e">
        <f>#REF!-#REF!</f>
        <v>#REF!</v>
      </c>
      <c r="K17">
        <v>166</v>
      </c>
      <c r="L17" s="2" t="e">
        <f>K17+#REF!</f>
        <v>#REF!</v>
      </c>
    </row>
    <row r="18" spans="1:12" ht="12.75">
      <c r="A18" t="s">
        <v>31</v>
      </c>
      <c r="B18" s="17" t="s">
        <v>32</v>
      </c>
      <c r="C18" s="25">
        <v>1</v>
      </c>
      <c r="D18" s="18">
        <f>0.25*0.38*0.06</f>
        <v>0.0057</v>
      </c>
      <c r="E18" s="18">
        <f t="shared" si="0"/>
        <v>0.006977325066430469</v>
      </c>
      <c r="F18" s="19">
        <f t="shared" si="1"/>
        <v>20.6847015</v>
      </c>
      <c r="G18" s="21">
        <f>F18*C18</f>
        <v>20.6847015</v>
      </c>
      <c r="H18" s="2">
        <v>16</v>
      </c>
      <c r="I18" s="7">
        <f>H18*C18</f>
        <v>16</v>
      </c>
      <c r="J18" s="2" t="e">
        <f>#REF!-#REF!</f>
        <v>#REF!</v>
      </c>
      <c r="K18">
        <v>252</v>
      </c>
      <c r="L18" s="2" t="e">
        <f>K18+#REF!</f>
        <v>#REF!</v>
      </c>
    </row>
    <row r="19" spans="1:12" ht="12.75">
      <c r="A19" t="s">
        <v>17</v>
      </c>
      <c r="B19" s="16" t="s">
        <v>18</v>
      </c>
      <c r="C19" s="25">
        <v>1</v>
      </c>
      <c r="D19" s="18">
        <f>0.25*0.38*0.06</f>
        <v>0.0057</v>
      </c>
      <c r="E19" s="18">
        <f>D19*0.1382/0.1129</f>
        <v>0.006977325066430469</v>
      </c>
      <c r="F19" s="19">
        <f t="shared" si="1"/>
        <v>20.6847015</v>
      </c>
      <c r="G19" s="21">
        <f>F19*C19</f>
        <v>20.6847015</v>
      </c>
      <c r="H19" s="2">
        <v>16</v>
      </c>
      <c r="I19" s="7">
        <f>H19*C19</f>
        <v>16</v>
      </c>
      <c r="J19" s="2" t="e">
        <f>#REF!-#REF!</f>
        <v>#REF!</v>
      </c>
      <c r="K19">
        <v>241</v>
      </c>
      <c r="L19" s="2" t="e">
        <f>K19+#REF!</f>
        <v>#REF!</v>
      </c>
    </row>
    <row r="20" spans="1:12" ht="12.75">
      <c r="A20" t="s">
        <v>37</v>
      </c>
      <c r="B20" s="16" t="s">
        <v>38</v>
      </c>
      <c r="C20" s="25">
        <v>1</v>
      </c>
      <c r="D20" s="18">
        <f>0.25*0.38*0.06</f>
        <v>0.0057</v>
      </c>
      <c r="E20" s="18">
        <f t="shared" si="0"/>
        <v>0.006977325066430469</v>
      </c>
      <c r="F20" s="19">
        <f t="shared" si="1"/>
        <v>20.6847015</v>
      </c>
      <c r="G20" s="21">
        <f>F20*C20</f>
        <v>20.6847015</v>
      </c>
      <c r="H20" s="2">
        <v>16</v>
      </c>
      <c r="I20" s="7">
        <f>H20*C20</f>
        <v>16</v>
      </c>
      <c r="J20" s="2" t="e">
        <f>#REF!-#REF!</f>
        <v>#REF!</v>
      </c>
      <c r="K20">
        <v>166</v>
      </c>
      <c r="L20" s="2" t="e">
        <f>K20+#REF!</f>
        <v>#REF!</v>
      </c>
    </row>
    <row r="21" spans="1:12" ht="12.75">
      <c r="A21" t="s">
        <v>22</v>
      </c>
      <c r="B21" s="17" t="s">
        <v>23</v>
      </c>
      <c r="C21" s="25">
        <v>1</v>
      </c>
      <c r="D21" s="18">
        <f>0.25*0.38*0.06</f>
        <v>0.0057</v>
      </c>
      <c r="E21" s="18">
        <f t="shared" si="0"/>
        <v>0.006977325066430469</v>
      </c>
      <c r="F21" s="19">
        <f t="shared" si="1"/>
        <v>20.6847015</v>
      </c>
      <c r="G21" s="21">
        <f>F21*C21</f>
        <v>20.6847015</v>
      </c>
      <c r="H21" s="2">
        <v>16</v>
      </c>
      <c r="I21" s="7">
        <f>H21*C21</f>
        <v>16</v>
      </c>
      <c r="J21" s="2" t="e">
        <f>#REF!-#REF!</f>
        <v>#REF!</v>
      </c>
      <c r="K21">
        <v>173</v>
      </c>
      <c r="L21" s="2" t="e">
        <f>K21+#REF!</f>
        <v>#REF!</v>
      </c>
    </row>
    <row r="22" spans="1:12" ht="12.75">
      <c r="A22" t="s">
        <v>5</v>
      </c>
      <c r="B22" s="16" t="s">
        <v>6</v>
      </c>
      <c r="C22" s="25">
        <v>1</v>
      </c>
      <c r="D22" s="18">
        <f>0.24*0.18*0.04</f>
        <v>0.001728</v>
      </c>
      <c r="E22" s="18">
        <f t="shared" si="0"/>
        <v>0.0021152311780336577</v>
      </c>
      <c r="F22" s="19">
        <f t="shared" si="1"/>
        <v>6.27073056</v>
      </c>
      <c r="G22" s="21">
        <f>F22*C22</f>
        <v>6.27073056</v>
      </c>
      <c r="H22" s="2">
        <v>20</v>
      </c>
      <c r="I22" s="7">
        <f>H22*C22</f>
        <v>20</v>
      </c>
      <c r="J22" s="2" t="e">
        <f>#REF!-#REF!</f>
        <v>#REF!</v>
      </c>
      <c r="K22">
        <v>435</v>
      </c>
      <c r="L22" s="2" t="e">
        <f>K22+#REF!</f>
        <v>#REF!</v>
      </c>
    </row>
    <row r="23" spans="1:12" ht="12.75">
      <c r="A23" t="s">
        <v>44</v>
      </c>
      <c r="B23" s="16" t="s">
        <v>46</v>
      </c>
      <c r="C23" s="25">
        <v>1</v>
      </c>
      <c r="D23" s="18">
        <f>0.19*0.19*0.025</f>
        <v>0.0009025000000000001</v>
      </c>
      <c r="E23" s="18">
        <f t="shared" si="0"/>
        <v>0.0011047431355181575</v>
      </c>
      <c r="F23" s="19">
        <f t="shared" si="1"/>
        <v>3.2750777375</v>
      </c>
      <c r="G23" s="21">
        <f>F23*C23</f>
        <v>3.2750777375</v>
      </c>
      <c r="H23" s="2">
        <v>16</v>
      </c>
      <c r="I23" s="7">
        <f>H23*C23</f>
        <v>16</v>
      </c>
      <c r="J23" s="2" t="e">
        <f>#REF!-#REF!</f>
        <v>#REF!</v>
      </c>
      <c r="K23">
        <v>137</v>
      </c>
      <c r="L23" s="2" t="e">
        <f>K23+#REF!</f>
        <v>#REF!</v>
      </c>
    </row>
    <row r="24" spans="1:12" ht="12.75">
      <c r="A24" t="s">
        <v>10</v>
      </c>
      <c r="B24" s="16" t="s">
        <v>11</v>
      </c>
      <c r="C24" s="25">
        <v>1</v>
      </c>
      <c r="D24" s="18">
        <f>0.21*0.255*0.225</f>
        <v>0.01204875</v>
      </c>
      <c r="E24" s="18">
        <f t="shared" si="0"/>
        <v>0.01474877989371125</v>
      </c>
      <c r="F24" s="19">
        <f t="shared" si="1"/>
        <v>43.72364863125</v>
      </c>
      <c r="G24" s="21">
        <f>F24*C24</f>
        <v>43.72364863125</v>
      </c>
      <c r="H24" s="7" t="e">
        <f>41.66667*#REF!</f>
        <v>#REF!</v>
      </c>
      <c r="I24" s="7" t="e">
        <f>H24*C24</f>
        <v>#REF!</v>
      </c>
      <c r="J24" s="2" t="e">
        <f>#REF!-#REF!</f>
        <v>#REF!</v>
      </c>
      <c r="K24">
        <v>1298</v>
      </c>
      <c r="L24" s="2" t="e">
        <f>K24+#REF!</f>
        <v>#REF!</v>
      </c>
    </row>
    <row r="25" spans="1:12" ht="12.75">
      <c r="A25" t="s">
        <v>47</v>
      </c>
      <c r="B25" s="16" t="s">
        <v>48</v>
      </c>
      <c r="C25" s="25">
        <v>1</v>
      </c>
      <c r="D25" s="18">
        <f>0.165*0.21*0.095</f>
        <v>0.00329175</v>
      </c>
      <c r="E25" s="18">
        <f t="shared" si="0"/>
        <v>0.004029405225863596</v>
      </c>
      <c r="F25" s="19">
        <f t="shared" si="1"/>
        <v>11.94541511625</v>
      </c>
      <c r="G25" s="21">
        <f>F25*C25</f>
        <v>11.94541511625</v>
      </c>
      <c r="H25" s="7" t="e">
        <f>41.66667*#REF!</f>
        <v>#REF!</v>
      </c>
      <c r="I25" s="7" t="e">
        <f>H25*C25</f>
        <v>#REF!</v>
      </c>
      <c r="J25" s="2" t="e">
        <f>#REF!-#REF!</f>
        <v>#REF!</v>
      </c>
      <c r="K25">
        <v>3036</v>
      </c>
      <c r="L25" s="2" t="e">
        <f>K25+#REF!</f>
        <v>#REF!</v>
      </c>
    </row>
    <row r="26" spans="3:9" ht="12.75">
      <c r="C26" s="23"/>
      <c r="D26" s="12">
        <f>SUM(D4:D25)</f>
        <v>0.11285224999999997</v>
      </c>
      <c r="E26" s="27">
        <f>SUM(E4:E25)</f>
        <v>0.13814154960141717</v>
      </c>
      <c r="F26" s="3"/>
      <c r="G26" s="28">
        <f>SUM(G4:G25)</f>
        <v>409.52896576375</v>
      </c>
      <c r="H26" s="7"/>
      <c r="I26" s="7"/>
    </row>
    <row r="27" spans="3:14" ht="12.75">
      <c r="C27" s="23"/>
      <c r="H27" s="7"/>
      <c r="I27" s="7" t="e">
        <f>SUM(I4:I26)</f>
        <v>#REF!</v>
      </c>
      <c r="J27" s="2" t="e">
        <f>SUM(J4:J26)</f>
        <v>#REF!</v>
      </c>
      <c r="K27" s="2">
        <f>SUM(K4:K26)</f>
        <v>14128</v>
      </c>
      <c r="L27" s="2" t="e">
        <f>SUM(L4:L26)</f>
        <v>#REF!</v>
      </c>
      <c r="M27" s="2">
        <f>SUM(M4:M26)</f>
        <v>0.86</v>
      </c>
      <c r="N27" s="2">
        <f>SUM(N4:N26)</f>
        <v>3488.3720930232557</v>
      </c>
    </row>
    <row r="29" spans="2:14" ht="12.75">
      <c r="B29" s="16" t="s">
        <v>58</v>
      </c>
      <c r="C29" s="25">
        <v>1</v>
      </c>
      <c r="D29" s="18">
        <f>1.2*0.36*0.03</f>
        <v>0.01296</v>
      </c>
      <c r="E29" s="26">
        <f>C29*D29</f>
        <v>0.01296</v>
      </c>
      <c r="F29" s="19">
        <f>D29*3628.895</f>
        <v>47.030479199999995</v>
      </c>
      <c r="G29" s="21">
        <f>F29*C29</f>
        <v>47.030479199999995</v>
      </c>
      <c r="H29" s="7" t="e">
        <f>41.66667*#REF!</f>
        <v>#REF!</v>
      </c>
      <c r="I29" s="7" t="e">
        <f>H29*C29</f>
        <v>#REF!</v>
      </c>
      <c r="J29" s="2" t="e">
        <f>#REF!-#REF!</f>
        <v>#REF!</v>
      </c>
      <c r="K29">
        <v>545</v>
      </c>
      <c r="L29" s="2" t="e">
        <f>K29+#REF!</f>
        <v>#REF!</v>
      </c>
      <c r="M29">
        <v>72</v>
      </c>
      <c r="N29" s="5" t="e">
        <f>#REF!/M29</f>
        <v>#REF!</v>
      </c>
    </row>
    <row r="30" spans="2:12" ht="12.75">
      <c r="B30" s="16" t="s">
        <v>39</v>
      </c>
      <c r="C30" s="25">
        <v>1</v>
      </c>
      <c r="D30" s="18">
        <f>0.55*0.78*0.08</f>
        <v>0.03432</v>
      </c>
      <c r="E30" s="26">
        <f>C30*D30</f>
        <v>0.03432</v>
      </c>
      <c r="F30" s="19">
        <f aca="true" t="shared" si="2" ref="F30:F41">D30*3628.895</f>
        <v>124.54367640000001</v>
      </c>
      <c r="G30" s="21">
        <f>F30*C30</f>
        <v>124.54367640000001</v>
      </c>
      <c r="H30" s="7" t="e">
        <f>41.66667*#REF!</f>
        <v>#REF!</v>
      </c>
      <c r="I30" s="7" t="e">
        <f>H30*C30</f>
        <v>#REF!</v>
      </c>
      <c r="J30" s="2" t="e">
        <f>#REF!-#REF!</f>
        <v>#REF!</v>
      </c>
      <c r="K30">
        <v>1535</v>
      </c>
      <c r="L30" s="2" t="e">
        <f>K30+#REF!</f>
        <v>#REF!</v>
      </c>
    </row>
    <row r="31" spans="2:12" ht="12.75">
      <c r="B31" s="16" t="s">
        <v>9</v>
      </c>
      <c r="C31" s="25">
        <v>1</v>
      </c>
      <c r="D31" s="18">
        <f>1.84*0.06*0.06</f>
        <v>0.006624</v>
      </c>
      <c r="E31" s="26">
        <f>C31*D31</f>
        <v>0.006624</v>
      </c>
      <c r="F31" s="19">
        <f t="shared" si="2"/>
        <v>24.037800479999998</v>
      </c>
      <c r="G31" s="21">
        <f>F31*C31</f>
        <v>24.037800479999998</v>
      </c>
      <c r="H31" s="7" t="e">
        <f>41.66667*#REF!</f>
        <v>#REF!</v>
      </c>
      <c r="I31" s="7" t="e">
        <f>H31*C31</f>
        <v>#REF!</v>
      </c>
      <c r="J31" s="2" t="e">
        <f>#REF!-#REF!</f>
        <v>#REF!</v>
      </c>
      <c r="K31">
        <v>384</v>
      </c>
      <c r="L31" s="2" t="e">
        <f>K31+#REF!</f>
        <v>#REF!</v>
      </c>
    </row>
    <row r="32" spans="2:17" ht="12.75">
      <c r="B32" s="16" t="s">
        <v>54</v>
      </c>
      <c r="C32" s="25">
        <v>1</v>
      </c>
      <c r="D32" s="26">
        <f>3.04*0.08*0.08</f>
        <v>0.019456</v>
      </c>
      <c r="E32" s="26">
        <f>C32*D32</f>
        <v>0.019456</v>
      </c>
      <c r="F32" s="19">
        <f>D32*3628.895</f>
        <v>70.60378112000001</v>
      </c>
      <c r="G32" s="21">
        <f>F32*C32</f>
        <v>70.60378112000001</v>
      </c>
      <c r="H32" s="7" t="e">
        <f>41.66667*#REF!</f>
        <v>#REF!</v>
      </c>
      <c r="I32" s="7" t="e">
        <f>H32*C32</f>
        <v>#REF!</v>
      </c>
      <c r="J32" s="2" t="e">
        <f>#REF!-#REF!</f>
        <v>#REF!</v>
      </c>
      <c r="K32">
        <v>540</v>
      </c>
      <c r="L32" s="2" t="e">
        <f>K32+#REF!</f>
        <v>#REF!</v>
      </c>
      <c r="Q32" s="10" t="s">
        <v>62</v>
      </c>
    </row>
    <row r="33" spans="2:17" ht="12.75">
      <c r="B33" s="16" t="s">
        <v>55</v>
      </c>
      <c r="C33" s="25">
        <v>1</v>
      </c>
      <c r="D33" s="18">
        <f>0.55*1.31*0.035</f>
        <v>0.025217500000000007</v>
      </c>
      <c r="E33" s="26">
        <f>C33*D33</f>
        <v>0.025217500000000007</v>
      </c>
      <c r="F33" s="19">
        <f t="shared" si="2"/>
        <v>91.51165966250002</v>
      </c>
      <c r="G33" s="21">
        <f>F33*C33</f>
        <v>91.51165966250002</v>
      </c>
      <c r="H33" s="7" t="e">
        <f>41.66667*#REF!</f>
        <v>#REF!</v>
      </c>
      <c r="I33" s="7" t="e">
        <f>H33*C33</f>
        <v>#REF!</v>
      </c>
      <c r="J33" s="2" t="e">
        <f>#REF!-#REF!</f>
        <v>#REF!</v>
      </c>
      <c r="K33">
        <v>417</v>
      </c>
      <c r="L33" s="2" t="e">
        <f>K33+#REF!</f>
        <v>#REF!</v>
      </c>
      <c r="Q33" s="9">
        <f>0.68*0.46*0.46</f>
        <v>0.14388800000000002</v>
      </c>
    </row>
    <row r="34" spans="2:17" ht="12.75">
      <c r="B34" s="29" t="s">
        <v>43</v>
      </c>
      <c r="C34" s="25">
        <v>2</v>
      </c>
      <c r="D34" s="18">
        <f>0.04</f>
        <v>0.04</v>
      </c>
      <c r="E34" s="26">
        <f>C34*D34</f>
        <v>0.08</v>
      </c>
      <c r="F34" s="19">
        <f t="shared" si="2"/>
        <v>145.1558</v>
      </c>
      <c r="G34" s="21">
        <f>F34*C34</f>
        <v>290.3116</v>
      </c>
      <c r="H34" s="7" t="e">
        <f>41.66667*#REF!</f>
        <v>#REF!</v>
      </c>
      <c r="I34" s="7" t="e">
        <f>H34*C34</f>
        <v>#REF!</v>
      </c>
      <c r="J34" s="2" t="e">
        <f>#REF!-#REF!</f>
        <v>#REF!</v>
      </c>
      <c r="K34">
        <v>679</v>
      </c>
      <c r="L34" s="2" t="e">
        <f>K34+#REF!</f>
        <v>#REF!</v>
      </c>
      <c r="Q34" s="9">
        <f>0.54*0.46*0.46</f>
        <v>0.11426400000000002</v>
      </c>
    </row>
    <row r="35" spans="2:17" ht="12.75">
      <c r="B35" s="29" t="s">
        <v>45</v>
      </c>
      <c r="C35" s="25">
        <v>3</v>
      </c>
      <c r="D35" s="18">
        <f>0.04</f>
        <v>0.04</v>
      </c>
      <c r="E35" s="26">
        <f aca="true" t="shared" si="3" ref="E35:E41">C35*D35</f>
        <v>0.12</v>
      </c>
      <c r="F35" s="19">
        <f t="shared" si="2"/>
        <v>145.1558</v>
      </c>
      <c r="G35" s="21">
        <f>F35*C35</f>
        <v>435.4674</v>
      </c>
      <c r="H35" s="7" t="e">
        <f>41.66667*#REF!</f>
        <v>#REF!</v>
      </c>
      <c r="I35" s="7" t="e">
        <f>H35*C35</f>
        <v>#REF!</v>
      </c>
      <c r="J35" s="2" t="e">
        <f>#REF!-#REF!</f>
        <v>#REF!</v>
      </c>
      <c r="K35">
        <v>1111</v>
      </c>
      <c r="L35" s="2" t="e">
        <f>K35+#REF!</f>
        <v>#REF!</v>
      </c>
      <c r="Q35" s="9">
        <f>0.63*0.46*0.46</f>
        <v>0.133308</v>
      </c>
    </row>
    <row r="36" spans="2:18" ht="12.75">
      <c r="B36" s="29" t="s">
        <v>16</v>
      </c>
      <c r="C36" s="25">
        <v>1</v>
      </c>
      <c r="D36" s="18">
        <f>0.04</f>
        <v>0.04</v>
      </c>
      <c r="E36" s="26">
        <f t="shared" si="3"/>
        <v>0.04</v>
      </c>
      <c r="F36" s="19">
        <f t="shared" si="2"/>
        <v>145.1558</v>
      </c>
      <c r="G36" s="21">
        <f>F36*C36</f>
        <v>145.1558</v>
      </c>
      <c r="H36" s="7" t="e">
        <f>41.66667*#REF!</f>
        <v>#REF!</v>
      </c>
      <c r="I36" s="7" t="e">
        <f>H36*C36</f>
        <v>#REF!</v>
      </c>
      <c r="J36" s="2" t="e">
        <f>#REF!-#REF!</f>
        <v>#REF!</v>
      </c>
      <c r="K36">
        <v>338</v>
      </c>
      <c r="L36" s="2" t="e">
        <f>K36+#REF!</f>
        <v>#REF!</v>
      </c>
      <c r="Q36" s="9">
        <f>0.55*0.53*0.53</f>
        <v>0.15449500000000002</v>
      </c>
      <c r="R36" s="5" t="s">
        <v>63</v>
      </c>
    </row>
    <row r="37" spans="2:18" ht="12.75">
      <c r="B37" s="30" t="s">
        <v>30</v>
      </c>
      <c r="C37" s="25">
        <v>4</v>
      </c>
      <c r="D37" s="18">
        <f>0.04</f>
        <v>0.04</v>
      </c>
      <c r="E37" s="26">
        <f t="shared" si="3"/>
        <v>0.16</v>
      </c>
      <c r="F37" s="19">
        <f t="shared" si="2"/>
        <v>145.1558</v>
      </c>
      <c r="G37" s="21">
        <f>F37*C37</f>
        <v>580.6232</v>
      </c>
      <c r="H37" s="7" t="e">
        <f>41.66667*#REF!</f>
        <v>#REF!</v>
      </c>
      <c r="I37" s="7" t="e">
        <f>H37*C37</f>
        <v>#REF!</v>
      </c>
      <c r="J37" s="2" t="e">
        <f>#REF!-#REF!</f>
        <v>#REF!</v>
      </c>
      <c r="K37">
        <v>1560</v>
      </c>
      <c r="L37" s="2" t="e">
        <f>K37+#REF!</f>
        <v>#REF!</v>
      </c>
      <c r="Q37" s="13">
        <f>SUM(Q33:Q36)</f>
        <v>0.5459550000000001</v>
      </c>
      <c r="R37">
        <f>Q37/12</f>
        <v>0.04549625000000001</v>
      </c>
    </row>
    <row r="38" spans="2:12" ht="12.75">
      <c r="B38" s="29" t="s">
        <v>56</v>
      </c>
      <c r="C38" s="25">
        <v>2</v>
      </c>
      <c r="D38" s="18">
        <f>0.04</f>
        <v>0.04</v>
      </c>
      <c r="E38" s="26">
        <f t="shared" si="3"/>
        <v>0.08</v>
      </c>
      <c r="F38" s="19">
        <f t="shared" si="2"/>
        <v>145.1558</v>
      </c>
      <c r="G38" s="21">
        <f>F38*C38</f>
        <v>290.3116</v>
      </c>
      <c r="H38" s="7" t="e">
        <f>41.66667*#REF!</f>
        <v>#REF!</v>
      </c>
      <c r="I38" s="7" t="e">
        <f>H38*C38</f>
        <v>#REF!</v>
      </c>
      <c r="J38" s="2" t="e">
        <f>#REF!-#REF!</f>
        <v>#REF!</v>
      </c>
      <c r="K38">
        <v>943</v>
      </c>
      <c r="L38" s="2" t="e">
        <f>K38+#REF!</f>
        <v>#REF!</v>
      </c>
    </row>
    <row r="39" spans="2:12" ht="12.75">
      <c r="B39" s="17" t="s">
        <v>42</v>
      </c>
      <c r="C39" s="25">
        <v>1</v>
      </c>
      <c r="D39" s="18">
        <f>0.74*0.35*0.11</f>
        <v>0.02849</v>
      </c>
      <c r="E39" s="26">
        <f t="shared" si="3"/>
        <v>0.02849</v>
      </c>
      <c r="F39" s="19">
        <f t="shared" si="2"/>
        <v>103.38721855</v>
      </c>
      <c r="G39" s="21">
        <f>F39*C39</f>
        <v>103.38721855</v>
      </c>
      <c r="H39" s="7" t="e">
        <f>41.66667*#REF!</f>
        <v>#REF!</v>
      </c>
      <c r="I39" s="7" t="e">
        <f>H39*C39</f>
        <v>#REF!</v>
      </c>
      <c r="J39" s="2" t="e">
        <f>#REF!-#REF!</f>
        <v>#REF!</v>
      </c>
      <c r="K39">
        <v>679</v>
      </c>
      <c r="L39" s="2" t="e">
        <f>K39+#REF!</f>
        <v>#REF!</v>
      </c>
    </row>
    <row r="40" spans="2:12" ht="12.75">
      <c r="B40" s="16" t="s">
        <v>12</v>
      </c>
      <c r="C40" s="25">
        <v>2</v>
      </c>
      <c r="D40" s="18">
        <f>0.74*0.35*0.11</f>
        <v>0.02849</v>
      </c>
      <c r="E40" s="26">
        <f t="shared" si="3"/>
        <v>0.05698</v>
      </c>
      <c r="F40" s="19">
        <f t="shared" si="2"/>
        <v>103.38721855</v>
      </c>
      <c r="G40" s="21">
        <f>F40*C40</f>
        <v>206.7744371</v>
      </c>
      <c r="H40" s="7" t="e">
        <f>41.66667*#REF!</f>
        <v>#REF!</v>
      </c>
      <c r="I40" s="7" t="e">
        <f>H40*C40</f>
        <v>#REF!</v>
      </c>
      <c r="J40" s="2" t="e">
        <f>#REF!-#REF!</f>
        <v>#REF!</v>
      </c>
      <c r="K40">
        <v>1298</v>
      </c>
      <c r="L40" s="2" t="e">
        <f>K40+#REF!</f>
        <v>#REF!</v>
      </c>
    </row>
    <row r="41" spans="2:12" ht="12.75">
      <c r="B41" s="16" t="s">
        <v>57</v>
      </c>
      <c r="C41" s="25">
        <v>1</v>
      </c>
      <c r="D41" s="18">
        <f>0.73*0.34*0.11</f>
        <v>0.027302</v>
      </c>
      <c r="E41" s="26">
        <f t="shared" si="3"/>
        <v>0.027302</v>
      </c>
      <c r="F41" s="19">
        <f t="shared" si="2"/>
        <v>99.07609129</v>
      </c>
      <c r="G41" s="21">
        <f>F41*C41</f>
        <v>99.07609129</v>
      </c>
      <c r="H41" s="7" t="e">
        <f>41.66667*#REF!</f>
        <v>#REF!</v>
      </c>
      <c r="I41" s="7" t="e">
        <f>H41*C41</f>
        <v>#REF!</v>
      </c>
      <c r="J41" s="2" t="e">
        <f>#REF!-#REF!</f>
        <v>#REF!</v>
      </c>
      <c r="K41">
        <v>451</v>
      </c>
      <c r="L41" s="2" t="e">
        <f>K41+#REF!</f>
        <v>#REF!</v>
      </c>
    </row>
    <row r="42" spans="5:7" ht="12.75">
      <c r="E42" s="27">
        <f>SUM(E29:E41)</f>
        <v>0.6913495000000001</v>
      </c>
      <c r="G42" s="28">
        <f>SUM(G29:G41)</f>
        <v>2508.8347438025</v>
      </c>
    </row>
    <row r="44" spans="2:18" ht="12.75">
      <c r="B44" s="17" t="s">
        <v>28</v>
      </c>
      <c r="C44" s="25">
        <v>2</v>
      </c>
      <c r="D44" s="18">
        <f>R45</f>
        <v>0.00558</v>
      </c>
      <c r="E44" s="18">
        <f>C44*D44</f>
        <v>0.01116</v>
      </c>
      <c r="F44" s="19">
        <f>D44*3628.895</f>
        <v>20.2492341</v>
      </c>
      <c r="G44" s="21">
        <f>F44*C44</f>
        <v>40.4984682</v>
      </c>
      <c r="Q44" s="10" t="s">
        <v>64</v>
      </c>
      <c r="R44" s="5" t="s">
        <v>63</v>
      </c>
    </row>
    <row r="45" spans="2:18" ht="12.75">
      <c r="B45" s="17" t="s">
        <v>28</v>
      </c>
      <c r="C45" s="25">
        <v>2</v>
      </c>
      <c r="D45" s="18">
        <f>R45</f>
        <v>0.00558</v>
      </c>
      <c r="E45" s="18">
        <f>C45*D45</f>
        <v>0.01116</v>
      </c>
      <c r="F45" s="19">
        <f>D45*3628.895</f>
        <v>20.2492341</v>
      </c>
      <c r="G45" s="21">
        <f>F45*C45</f>
        <v>40.4984682</v>
      </c>
      <c r="Q45" s="9">
        <f>0.5*0.31*0.36</f>
        <v>0.055799999999999995</v>
      </c>
      <c r="R45">
        <f>Q45/10</f>
        <v>0.00558</v>
      </c>
    </row>
    <row r="46" spans="2:7" ht="12.75">
      <c r="B46" s="16" t="s">
        <v>21</v>
      </c>
      <c r="C46" s="25">
        <v>4</v>
      </c>
      <c r="D46" s="18">
        <f>R45</f>
        <v>0.00558</v>
      </c>
      <c r="E46" s="18">
        <f>C46*D46</f>
        <v>0.02232</v>
      </c>
      <c r="F46" s="19">
        <f>D46*3628.895</f>
        <v>20.2492341</v>
      </c>
      <c r="G46" s="21">
        <f>F46*C46</f>
        <v>80.9969364</v>
      </c>
    </row>
    <row r="47" spans="2:7" ht="12.75">
      <c r="B47" s="17" t="s">
        <v>21</v>
      </c>
      <c r="C47" s="25">
        <v>1</v>
      </c>
      <c r="D47" s="18">
        <f>R45</f>
        <v>0.00558</v>
      </c>
      <c r="E47" s="18">
        <f>C47*D47</f>
        <v>0.00558</v>
      </c>
      <c r="F47" s="19">
        <f>D47*3628.895</f>
        <v>20.2492341</v>
      </c>
      <c r="G47" s="21">
        <f>F47*C47</f>
        <v>20.2492341</v>
      </c>
    </row>
    <row r="48" spans="2:7" ht="12.75">
      <c r="B48" s="17" t="s">
        <v>21</v>
      </c>
      <c r="C48" s="25">
        <v>1</v>
      </c>
      <c r="D48" s="18">
        <f>R45</f>
        <v>0.00558</v>
      </c>
      <c r="E48" s="18">
        <f>C48*D48</f>
        <v>0.00558</v>
      </c>
      <c r="F48" s="19">
        <f>D48*3628.895</f>
        <v>20.2492341</v>
      </c>
      <c r="G48" s="21">
        <f>F48*C48</f>
        <v>20.2492341</v>
      </c>
    </row>
    <row r="49" spans="5:7" ht="12.75">
      <c r="E49" s="27">
        <f>SUM(E44:E48)</f>
        <v>0.0558</v>
      </c>
      <c r="G49" s="28">
        <f>SUM(G44:G48)</f>
        <v>202.49234099999998</v>
      </c>
    </row>
    <row r="51" spans="5:7" ht="12.75">
      <c r="E51" s="12">
        <f>E26+E42+E49</f>
        <v>0.8852910496014171</v>
      </c>
      <c r="F51" s="4" t="s">
        <v>69</v>
      </c>
      <c r="G51" s="22">
        <f>SUM(G26+G42+G49)</f>
        <v>3120.85605056625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H3:I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Мама</cp:lastModifiedBy>
  <cp:lastPrinted>2017-04-05T15:34:15Z</cp:lastPrinted>
  <dcterms:created xsi:type="dcterms:W3CDTF">2017-04-01T10:03:27Z</dcterms:created>
  <dcterms:modified xsi:type="dcterms:W3CDTF">2017-04-05T16:03:42Z</dcterms:modified>
  <cp:category/>
  <cp:version/>
  <cp:contentType/>
  <cp:contentStatus/>
</cp:coreProperties>
</file>