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80" windowHeight="12210" tabRatio="939" firstSheet="143" activeTab="155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  <sheet name="143" sheetId="145" r:id="rId145"/>
    <sheet name="144" sheetId="146" r:id="rId146"/>
    <sheet name="145" sheetId="147" r:id="rId147"/>
    <sheet name="146" sheetId="148" r:id="rId148"/>
    <sheet name="147" sheetId="149" r:id="rId149"/>
    <sheet name="148" sheetId="150" r:id="rId150"/>
    <sheet name="149" sheetId="151" r:id="rId151"/>
    <sheet name="150" sheetId="152" r:id="rId152"/>
    <sheet name="151" sheetId="153" r:id="rId153"/>
    <sheet name="152" sheetId="154" r:id="rId154"/>
    <sheet name="153" sheetId="155" r:id="rId155"/>
    <sheet name="154" sheetId="156" r:id="rId156"/>
    <sheet name="-" sheetId="157" r:id="rId157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<sst xmlns="http://schemas.openxmlformats.org/spreadsheetml/2006/main" count="5042" uniqueCount="1319">
  <si>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</si>
  <si>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</si>
  <si>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</si>
  <si>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</si>
  <si>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</si>
  <si>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</si>
  <si>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</si>
  <si>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</si>
  <si>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</si>
  <si>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</si>
  <si>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</si>
  <si>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</si>
  <si>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</si>
  <si>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</si>
  <si>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</si>
  <si>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</si>
  <si>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</si>
  <si>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</si>
  <si>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</si>
  <si>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</si>
  <si>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</si>
  <si>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</si>
  <si>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</si>
  <si>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</si>
  <si>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</si>
  <si>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</si>
  <si>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</si>
  <si>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</si>
  <si>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</si>
  <si>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</si>
  <si>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</si>
  <si>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</si>
  <si>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</si>
  <si>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</si>
  <si>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</si>
  <si>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</si>
  <si>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</si>
  <si>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</si>
  <si>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</si>
  <si>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</si>
  <si>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</si>
  <si>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</si>
  <si>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</si>
  <si>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</si>
  <si>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</si>
  <si>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</si>
  <si>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</si>
  <si>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</si>
  <si>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</si>
  <si>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</si>
  <si>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</si>
  <si>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</si>
  <si>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</si>
  <si>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</si>
  <si>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</si>
  <si>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</si>
  <si>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</si>
  <si>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</si>
  <si>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</si>
  <si>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</si>
  <si>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</si>
  <si>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</si>
  <si>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</si>
  <si>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</si>
  <si>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</si>
  <si>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</si>
  <si>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</si>
  <si>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</si>
  <si>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</si>
  <si>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</si>
  <si>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</si>
  <si>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</si>
  <si>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</si>
  <si>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</si>
  <si>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</si>
  <si>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</si>
  <si>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</si>
  <si>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</si>
  <si>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</si>
  <si>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</si>
  <si>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</si>
  <si>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</si>
  <si>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</si>
  <si>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</si>
  <si>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</si>
  <si>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</si>
  <si>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</si>
  <si>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</si>
  <si>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</si>
  <si>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</si>
  <si>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</si>
  <si>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</si>
  <si>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</si>
  <si>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</si>
  <si>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</si>
  <si>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</si>
  <si>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</si>
  <si>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</si>
  <si>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</si>
  <si>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</si>
  <si>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</si>
  <si>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</si>
  <si>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</si>
  <si>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</si>
  <si>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</si>
  <si>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</si>
  <si>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</si>
  <si>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</si>
  <si>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</si>
  <si>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</si>
  <si>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</si>
  <si>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</si>
  <si>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</si>
  <si>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</si>
  <si>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</si>
  <si>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</si>
  <si>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</si>
  <si>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</si>
  <si>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</si>
  <si>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</si>
  <si>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</si>
  <si>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</si>
  <si>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</si>
  <si>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</si>
  <si>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</si>
  <si>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</si>
  <si>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</si>
  <si>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</si>
  <si>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</si>
  <si>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</si>
  <si>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</si>
  <si>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</si>
  <si>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</si>
  <si>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</si>
  <si>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</si>
  <si>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</si>
  <si>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</si>
  <si>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</si>
  <si>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</si>
  <si>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</si>
  <si>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</si>
  <si>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</si>
  <si>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</si>
  <si>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</si>
  <si>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</si>
  <si>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</si>
  <si>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</si>
  <si>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</si>
  <si>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</si>
  <si>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</si>
  <si>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</si>
  <si>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</si>
  <si>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</si>
  <si>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</si>
  <si>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</si>
  <si>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</si>
  <si>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</si>
  <si>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</si>
  <si>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</si>
  <si>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</si>
  <si>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</si>
  <si>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</si>
  <si>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</si>
  <si>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</si>
  <si>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</si>
  <si>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</si>
  <si>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</si>
  <si>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</si>
  <si>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</si>
  <si>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</si>
  <si>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</si>
  <si>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</si>
  <si>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</si>
  <si>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</si>
  <si>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</si>
  <si>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</si>
  <si>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</si>
  <si>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</si>
  <si>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</si>
  <si>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</si>
  <si>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</si>
  <si>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</si>
  <si>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</si>
  <si>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</si>
  <si>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</si>
  <si>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</si>
  <si>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</si>
  <si>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</si>
  <si>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</si>
  <si>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</si>
  <si>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</si>
  <si>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</si>
  <si>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</si>
  <si>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</si>
  <si>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</si>
  <si>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</si>
  <si>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</si>
  <si>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</si>
  <si>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</si>
  <si>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</si>
  <si>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</si>
  <si>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</si>
  <si>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</si>
  <si>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</si>
  <si>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</si>
  <si>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</si>
  <si>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</si>
  <si>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</si>
  <si>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</si>
  <si>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</si>
  <si>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</si>
  <si>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</si>
  <si>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</si>
  <si>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</si>
  <si>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</si>
  <si>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</si>
  <si>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</si>
  <si>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</si>
  <si>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</si>
  <si>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</si>
  <si>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</si>
  <si>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</si>
  <si>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</si>
  <si>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</si>
  <si>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</si>
  <si>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</si>
  <si>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</si>
  <si>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</si>
  <si>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</si>
  <si>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</si>
  <si>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</si>
  <si>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</si>
  <si>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</si>
  <si>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</si>
  <si>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</si>
  <si>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</si>
  <si>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</si>
  <si>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</si>
  <si>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</si>
  <si>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</si>
  <si>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</si>
  <si>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</si>
  <si>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</si>
  <si>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</si>
  <si>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</si>
  <si>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</si>
  <si>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</si>
  <si>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</si>
  <si>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</si>
  <si>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</si>
  <si>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</si>
  <si>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</si>
  <si>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</si>
  <si>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</si>
  <si>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</si>
  <si>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</si>
  <si>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</si>
  <si>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</si>
  <si>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</si>
  <si>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</si>
  <si>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</si>
  <si>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</si>
  <si>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</si>
  <si>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</si>
  <si>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</si>
  <si>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</si>
  <si>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</si>
  <si>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</si>
  <si>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</si>
  <si>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</si>
  <si>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</si>
  <si>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</si>
  <si>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</si>
  <si>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</si>
  <si>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</si>
  <si>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</si>
  <si>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</si>
  <si>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</si>
  <si>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</si>
  <si>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</si>
  <si>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</si>
  <si>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</si>
  <si>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</si>
  <si>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</si>
  <si>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</si>
  <si>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</si>
  <si>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</si>
  <si>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</si>
  <si>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</si>
  <si>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</si>
  <si>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</si>
  <si>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</si>
  <si>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</si>
  <si>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</si>
  <si>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</si>
  <si>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</si>
  <si>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</si>
  <si>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</si>
  <si>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</si>
  <si>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</si>
  <si>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</si>
  <si>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</si>
  <si>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</si>
  <si>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</si>
  <si>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</si>
  <si>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</si>
  <si>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</si>
  <si>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</si>
  <si>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</si>
  <si>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</si>
  <si>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</si>
  <si>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</si>
  <si>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</si>
  <si>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</si>
  <si>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</si>
  <si>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</si>
  <si>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</si>
  <si>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</si>
  <si>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</si>
  <si>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</si>
  <si>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</si>
  <si>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</si>
  <si>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</si>
  <si>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</si>
  <si>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</si>
  <si>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</si>
  <si>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</si>
  <si>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</si>
  <si>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</si>
  <si>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</si>
  <si>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</si>
  <si>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</si>
  <si>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</si>
  <si>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</si>
  <si>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</si>
  <si>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</si>
  <si>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</si>
  <si>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</si>
  <si>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</si>
  <si>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</si>
  <si>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</si>
  <si>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</si>
  <si>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</si>
  <si>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</si>
  <si>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</si>
  <si>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</si>
  <si>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</si>
  <si>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</si>
  <si>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</si>
  <si>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</si>
  <si>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</si>
  <si>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</si>
  <si>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</si>
  <si>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</si>
  <si>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</si>
  <si>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</si>
  <si>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</si>
  <si>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</si>
  <si>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</si>
  <si>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</si>
  <si>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</si>
  <si>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</si>
  <si>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</si>
  <si>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</si>
  <si>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</si>
  <si>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</si>
  <si>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</si>
  <si>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</si>
  <si>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</si>
  <si>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</si>
  <si>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</si>
  <si>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</si>
  <si>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</si>
  <si>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</si>
  <si>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</si>
  <si>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</si>
  <si>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</si>
  <si>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</si>
  <si>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</si>
  <si>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</si>
  <si>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</si>
  <si>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</si>
  <si>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</si>
  <si>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</si>
  <si>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</si>
  <si>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</si>
  <si>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</si>
  <si>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</si>
  <si>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</si>
  <si>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</si>
  <si>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</si>
  <si>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</si>
  <si>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</si>
  <si>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</si>
  <si>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</si>
  <si>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</si>
  <si>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</si>
  <si>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</si>
  <si>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</si>
  <si>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</si>
  <si>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</si>
  <si>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</si>
  <si>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</si>
  <si>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</si>
  <si>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</si>
  <si>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</si>
  <si>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</si>
  <si>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</si>
  <si>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</si>
  <si>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</si>
  <si>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</si>
  <si>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</si>
  <si>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</si>
  <si>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</si>
  <si>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</si>
  <si>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</si>
  <si>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</si>
  <si>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</si>
  <si>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</si>
  <si>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</si>
  <si>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</si>
  <si>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</si>
  <si>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</si>
  <si>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</si>
  <si>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</si>
  <si>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</si>
  <si>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</si>
  <si>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</si>
  <si>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</si>
  <si>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</si>
  <si>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</si>
  <si>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</si>
  <si>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</si>
  <si>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</si>
  <si>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</si>
  <si>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</si>
  <si>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</si>
  <si>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</si>
  <si>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</si>
  <si>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</si>
  <si>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</si>
  <si>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</si>
  <si>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</si>
  <si>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</si>
  <si>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</si>
  <si>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</si>
  <si>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</si>
  <si>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</si>
  <si>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</si>
  <si>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</si>
  <si>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</si>
  <si>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</si>
  <si>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</si>
  <si>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</si>
  <si>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</si>
  <si>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</si>
  <si>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</si>
  <si>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</si>
  <si>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</si>
  <si>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</si>
  <si>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</si>
  <si>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</si>
  <si>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</si>
  <si>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</si>
  <si>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</si>
  <si>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</si>
  <si>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</si>
  <si>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</si>
  <si>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</si>
  <si>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</si>
  <si>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</si>
  <si>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</si>
  <si>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</si>
  <si>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</si>
  <si>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</si>
  <si>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</si>
  <si>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</si>
  <si>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</si>
  <si>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</si>
  <si>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</si>
  <si>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</si>
  <si>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</si>
  <si>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</si>
  <si>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</si>
  <si>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</si>
  <si>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</si>
  <si>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</si>
  <si>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</si>
  <si>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</si>
  <si>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</si>
  <si>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</si>
  <si>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</si>
  <si>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</si>
  <si>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</si>
  <si>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</si>
  <si>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</si>
  <si>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</si>
  <si>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</si>
  <si>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</si>
  <si>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</si>
  <si>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</si>
  <si>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</si>
  <si>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</si>
  <si>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</si>
  <si>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</si>
  <si>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</si>
  <si>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</si>
  <si>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</si>
  <si>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</si>
  <si>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</si>
  <si>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</si>
  <si>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</si>
  <si>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</si>
  <si>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</si>
  <si>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</si>
  <si>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</si>
  <si>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</si>
  <si>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</si>
  <si>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</si>
  <si>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</si>
  <si>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</si>
  <si>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</si>
  <si>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</si>
  <si>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</si>
  <si>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</si>
  <si>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</si>
  <si>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</si>
  <si>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</si>
  <si>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</si>
  <si>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</si>
  <si>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</si>
  <si>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</si>
  <si>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</si>
  <si>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</si>
  <si>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</si>
  <si>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</si>
  <si>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</si>
  <si>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</si>
  <si>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</si>
  <si>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</si>
  <si>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</si>
  <si>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</si>
  <si>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</si>
  <si>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</si>
  <si>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</si>
  <si>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</si>
  <si>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</si>
  <si>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</si>
  <si>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</si>
  <si>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</si>
  <si>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</si>
  <si>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</si>
  <si>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</si>
  <si>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</si>
  <si>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</si>
  <si>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</si>
  <si>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</si>
  <si>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</si>
  <si>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</si>
  <si>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</si>
  <si>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</si>
  <si>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</si>
  <si>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</si>
  <si>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</si>
  <si>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</si>
  <si>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</si>
  <si>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</si>
  <si>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</si>
  <si>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</si>
  <si>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</si>
  <si>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</si>
  <si>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</si>
  <si>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</si>
  <si>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</si>
  <si>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</si>
  <si>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</si>
  <si>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</si>
  <si>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</si>
  <si>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</si>
  <si>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</si>
  <si>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</si>
  <si>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</si>
  <si>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</si>
  <si>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</si>
  <si>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</si>
  <si>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</si>
  <si>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</si>
  <si>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</si>
  <si>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</si>
  <si>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</si>
  <si>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</si>
  <si>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</si>
  <si>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</si>
  <si>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</si>
  <si>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</si>
  <si>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</si>
  <si>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</si>
  <si>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</si>
  <si>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</si>
  <si>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</si>
  <si>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</si>
  <si>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</si>
  <si>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</si>
  <si>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</si>
  <si>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</si>
  <si>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</si>
  <si>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</si>
  <si>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</si>
  <si>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</si>
  <si>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</si>
  <si>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</si>
  <si>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</si>
  <si>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</si>
  <si>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</si>
  <si>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</si>
  <si>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</si>
  <si>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</si>
  <si>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</si>
  <si>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</si>
  <si>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</si>
  <si>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</si>
  <si>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</si>
  <si>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</si>
  <si>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</si>
  <si>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</si>
  <si>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</si>
  <si>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</si>
  <si>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</si>
  <si>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</si>
  <si>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</si>
  <si>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</si>
  <si>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</si>
  <si>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</si>
  <si>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</si>
  <si>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</si>
  <si>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</si>
  <si>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</si>
  <si>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</si>
  <si>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</si>
  <si>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</si>
  <si>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</si>
  <si>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</si>
  <si>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</si>
  <si>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</si>
  <si>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</si>
  <si>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</si>
  <si>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</si>
  <si>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</si>
  <si>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</si>
  <si>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</si>
  <si>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</si>
  <si>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</si>
  <si>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</si>
  <si>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</si>
  <si>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</si>
  <si>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</si>
  <si>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</si>
  <si>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</si>
  <si>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</si>
  <si>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</si>
  <si>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</si>
  <si>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</si>
  <si>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</si>
  <si>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</si>
  <si>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</si>
  <si>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</si>
  <si>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</si>
  <si>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</si>
  <si>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</si>
  <si>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</si>
  <si>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</si>
  <si>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</si>
  <si>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</si>
  <si>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</si>
  <si>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</si>
  <si>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</si>
  <si>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</si>
  <si>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</si>
  <si>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</si>
  <si>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</si>
  <si>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</si>
  <si>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</si>
  <si>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</si>
  <si>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</si>
  <si>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</si>
  <si>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</si>
  <si>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</si>
  <si>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</si>
  <si>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</si>
  <si>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</si>
  <si>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</si>
  <si>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</si>
  <si>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</si>
  <si>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</si>
  <si>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</si>
  <si>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</si>
  <si>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</si>
  <si>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</si>
  <si>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</si>
  <si>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</si>
  <si>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</si>
  <si>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</si>
  <si>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</si>
  <si>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</si>
  <si>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</si>
  <si>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</si>
  <si>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</si>
  <si>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</si>
  <si>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</si>
  <si>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</si>
  <si>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</si>
  <si>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</si>
  <si>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</si>
  <si>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</si>
  <si>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</si>
  <si>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</si>
  <si>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</si>
  <si>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</si>
  <si>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</si>
  <si>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</si>
  <si>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</si>
  <si>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</si>
  <si>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</si>
  <si>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</si>
  <si>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</si>
  <si>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</si>
  <si>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</si>
  <si>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</si>
  <si>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</si>
  <si>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</si>
  <si>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</si>
  <si>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</si>
  <si>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</si>
  <si>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</si>
  <si>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</si>
  <si>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</si>
  <si>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</si>
  <si>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</si>
  <si>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</si>
  <si>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</si>
  <si>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</si>
  <si>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</si>
  <si>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</si>
  <si>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</si>
  <si>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</si>
  <si>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</si>
  <si>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</si>
  <si>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</si>
  <si>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</si>
  <si>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</si>
  <si>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</si>
  <si>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</si>
  <si>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</si>
  <si>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</si>
  <si>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</si>
  <si>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</si>
  <si>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</si>
  <si>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</si>
  <si>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</si>
  <si>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</si>
  <si>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</si>
  <si>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</si>
  <si>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</si>
  <si>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</si>
  <si>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</si>
  <si>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</si>
  <si>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</si>
  <si>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</si>
  <si>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</si>
  <si>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</si>
  <si>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</si>
  <si>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</si>
  <si>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</si>
  <si>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</si>
  <si>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</si>
  <si>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</si>
  <si>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</si>
  <si>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</si>
  <si>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</si>
  <si>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</si>
  <si>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</si>
  <si>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</si>
  <si>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</si>
  <si>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</si>
  <si>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</si>
  <si>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</si>
  <si>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</si>
  <si>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</si>
  <si>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</si>
  <si>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</si>
  <si>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</si>
  <si>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</si>
  <si>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</si>
  <si>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</si>
  <si>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</si>
  <si>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</si>
  <si>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</si>
  <si>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</si>
  <si>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</si>
  <si>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</si>
  <si>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</si>
  <si>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</si>
  <si>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</si>
  <si>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</si>
  <si>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</si>
  <si>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</si>
  <si>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</si>
  <si>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</si>
  <si>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</si>
  <si>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</si>
  <si>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</si>
  <si>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</si>
  <si>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</si>
  <si>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</si>
  <si>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</si>
  <si>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</si>
  <si>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</si>
  <si>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</si>
  <si>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</si>
  <si>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</si>
  <si>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</si>
  <si>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</si>
  <si>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</si>
  <si>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</si>
  <si>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</si>
  <si>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</si>
  <si>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</si>
  <si>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</si>
  <si>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</si>
  <si>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</si>
  <si>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</si>
  <si>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</si>
  <si>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</si>
  <si>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</si>
  <si>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</si>
  <si>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</si>
  <si>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</si>
  <si>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</si>
  <si>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</si>
  <si>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</si>
  <si>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</si>
  <si>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</si>
  <si>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</si>
  <si>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</si>
  <si>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</si>
  <si>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</si>
  <si>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</si>
  <si>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</si>
  <si>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</si>
  <si>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</si>
  <si>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</si>
  <si>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</si>
  <si>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</si>
  <si>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</si>
  <si>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</si>
  <si>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</si>
  <si>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</si>
  <si>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</si>
  <si>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</si>
  <si>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</si>
  <si>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</si>
  <si>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</si>
  <si>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</si>
  <si>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</si>
  <si>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</si>
  <si>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</si>
  <si>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</si>
  <si>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</si>
  <si>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</si>
  <si>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</si>
  <si>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</si>
  <si>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</si>
  <si>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</si>
  <si>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</si>
  <si>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</si>
  <si>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</si>
  <si>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</si>
  <si>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</si>
  <si>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</si>
  <si>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</si>
  <si>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</si>
  <si>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</si>
  <si>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</si>
  <si>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</si>
  <si>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</si>
  <si>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</si>
  <si>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</si>
  <si>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</si>
  <si>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</si>
  <si>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</si>
  <si>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</si>
  <si>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</si>
  <si>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</si>
  <si>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</si>
  <si>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</si>
  <si>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</si>
  <si>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</si>
  <si>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</si>
  <si>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</si>
  <si>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</si>
  <si>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</si>
  <si>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</si>
  <si>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</si>
  <si>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</si>
  <si>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</si>
  <si>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</si>
  <si>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</si>
  <si>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</si>
  <si>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</si>
  <si>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</si>
  <si>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</si>
  <si>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</si>
  <si>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</si>
  <si>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</si>
  <si>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</si>
  <si>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</si>
  <si>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</si>
  <si>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</si>
  <si>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</si>
  <si>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</si>
  <si>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</si>
  <si>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</si>
  <si>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</si>
  <si>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</si>
  <si>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</si>
  <si>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</si>
  <si>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</si>
  <si>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</si>
  <si>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</si>
  <si>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</si>
  <si>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</si>
  <si>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</si>
  <si>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</si>
  <si>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</si>
  <si>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</si>
  <si>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</si>
  <si>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</si>
  <si>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</si>
  <si>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</si>
  <si>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</si>
  <si>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</si>
  <si>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</si>
  <si>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</si>
  <si>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</si>
  <si>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</si>
  <si>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</si>
  <si>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</si>
  <si>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</si>
  <si>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</si>
  <si>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</si>
  <si>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</si>
  <si>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</si>
  <si>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</si>
  <si>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</si>
  <si>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</si>
  <si>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</si>
  <si>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</si>
  <si>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</si>
  <si>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</si>
  <si>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</si>
  <si>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</si>
  <si>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</si>
  <si>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</si>
  <si>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</si>
  <si>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</si>
  <si>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</si>
  <si>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</si>
  <si>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</si>
  <si>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</si>
  <si>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</si>
  <si>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</si>
  <si>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</si>
  <si>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</si>
  <si>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</si>
  <si>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</si>
  <si>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</si>
  <si>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</si>
  <si>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</si>
  <si>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</si>
  <si>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</si>
  <si>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</si>
  <si>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</si>
  <si>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</si>
  <si>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</si>
  <si>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</si>
  <si>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</si>
  <si>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</si>
  <si>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</si>
  <si>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</si>
  <si>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</si>
  <si>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</si>
  <si>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</si>
  <si>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</si>
  <si>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</si>
  <si>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</si>
  <si>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</si>
  <si>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</si>
  <si>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</si>
  <si>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</si>
  <si>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</si>
  <si>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</si>
  <si>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</si>
  <si>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</si>
  <si>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</si>
  <si>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</si>
  <si>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</si>
  <si>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</si>
  <si>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</si>
  <si>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</si>
  <si>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577р перенесла с депозита фармашоп 35</t>
  </si>
  <si>
    <t>117, 119</t>
  </si>
  <si>
    <t>29(2), 33, 34, 44, 119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</si>
  <si>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</si>
  <si>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</si>
  <si>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</si>
  <si>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</si>
  <si>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</si>
  <si>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</si>
  <si>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119, 121</t>
  </si>
  <si>
    <t>97, 103, 109, 116, 118, 121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</si>
  <si>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</si>
  <si>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</si>
  <si>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</si>
  <si>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</si>
  <si>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</si>
  <si>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</si>
  <si>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</si>
  <si>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</si>
  <si>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</si>
  <si>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</si>
  <si>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</si>
  <si>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</si>
  <si>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</si>
  <si>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</si>
  <si>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</si>
  <si>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</si>
  <si>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</si>
  <si>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</si>
  <si>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</si>
  <si>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</si>
  <si>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</si>
  <si>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</si>
  <si>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</si>
  <si>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</si>
  <si>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</si>
  <si>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</si>
  <si>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</si>
  <si>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</si>
  <si>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</si>
  <si>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</si>
  <si>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</si>
  <si>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</si>
  <si>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</si>
  <si>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</si>
  <si>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</si>
  <si>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</si>
  <si>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</si>
  <si>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</si>
  <si>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</si>
  <si>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</si>
  <si>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</si>
  <si>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</si>
  <si>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</si>
  <si>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</si>
  <si>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</si>
  <si>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</si>
  <si>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</si>
  <si>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50, 72, 96, 126</t>
  </si>
  <si>
    <t>выкуп 31.01</t>
  </si>
  <si>
    <t>Женни2009</t>
  </si>
  <si>
    <t>Мари(sh)ка</t>
  </si>
  <si>
    <t>62, 127</t>
  </si>
  <si>
    <t>117, 127</t>
  </si>
  <si>
    <t>97, 104, 127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</si>
  <si>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</si>
  <si>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</si>
  <si>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</si>
  <si>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</si>
  <si>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</si>
  <si>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</si>
  <si>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</si>
  <si>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</si>
  <si>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</si>
  <si>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</si>
  <si>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</si>
  <si>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</si>
  <si>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57, 129</t>
  </si>
  <si>
    <t>58, 75, 129</t>
  </si>
  <si>
    <t>46, 50, 54, 56, 60, 63, 75, 76,78, 79, 82, 129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</si>
  <si>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</si>
  <si>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</si>
  <si>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</si>
  <si>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</si>
  <si>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</si>
  <si>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68, 89, 97, 117, 128, 130</t>
  </si>
  <si>
    <t>123, 130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</si>
  <si>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</si>
  <si>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</si>
  <si>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</si>
  <si>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</si>
  <si>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</si>
  <si>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</si>
  <si>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124, 125, 131</t>
  </si>
  <si>
    <t>выкуп 20.03</t>
  </si>
  <si>
    <t>lisa008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</si>
  <si>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</si>
  <si>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</si>
  <si>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</si>
  <si>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</si>
  <si>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</si>
  <si>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</si>
  <si>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</si>
  <si>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</si>
  <si>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</si>
  <si>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</si>
  <si>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</si>
  <si>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</si>
  <si>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</si>
  <si>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</si>
  <si>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</si>
  <si>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</si>
  <si>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</si>
  <si>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</si>
  <si>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</si>
  <si>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</si>
  <si>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</si>
  <si>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69, 105, 125, 129, 134</t>
  </si>
  <si>
    <t>15, 134</t>
  </si>
  <si>
    <t>выкуп 12.04</t>
  </si>
  <si>
    <t>KotikaCC</t>
  </si>
  <si>
    <t>маманивана</t>
  </si>
  <si>
    <t>руф</t>
  </si>
  <si>
    <t>СветланаКВ</t>
  </si>
  <si>
    <t>FORTUNA</t>
  </si>
  <si>
    <t>61, 68, 70, 129, 131, 135</t>
  </si>
  <si>
    <t>55, 60, 135</t>
  </si>
  <si>
    <t>57, 73, 75, 76, 104, 113, 133, 135</t>
  </si>
  <si>
    <t>40, 44, 49, 66, 117, 118, 135</t>
  </si>
  <si>
    <t>выкуп 19.04</t>
  </si>
  <si>
    <t>Anyaaaaaa</t>
  </si>
  <si>
    <t>only</t>
  </si>
  <si>
    <t>14, 27, 29(2), 38, 89, 136</t>
  </si>
  <si>
    <t>14, 124, 136</t>
  </si>
  <si>
    <t>86, 87, 123, 126, 136</t>
  </si>
  <si>
    <t>52, 53, 54, 60, 69, 85, 89, 110, 121, 136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</si>
  <si>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</si>
  <si>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</si>
  <si>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</si>
  <si>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</si>
  <si>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</si>
  <si>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</si>
  <si>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</si>
  <si>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</si>
  <si>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</si>
  <si>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</si>
  <si>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133, 137</t>
  </si>
  <si>
    <t>выкуп 04.05</t>
  </si>
  <si>
    <t>CHADO4</t>
  </si>
  <si>
    <t>119, 138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</si>
  <si>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</si>
  <si>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</si>
  <si>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</si>
  <si>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</si>
  <si>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</si>
  <si>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</si>
  <si>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</si>
  <si>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</si>
  <si>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</si>
  <si>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</si>
  <si>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</si>
  <si>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35, 70, 139</t>
  </si>
  <si>
    <t>106, 137, 139</t>
  </si>
  <si>
    <t>129, 136, 139</t>
  </si>
  <si>
    <t>71, 97, 104, 105, 129, 139</t>
  </si>
  <si>
    <t>выкуп 21.05</t>
  </si>
  <si>
    <t>12, 16(2), 18, 19, 28, 29(1), 34, 38, 39, 40, 41, 45, 52, 57, 78, 85, 102, 116, 124, 136, 140</t>
  </si>
  <si>
    <t>10, 31, 125, 126, 140</t>
  </si>
  <si>
    <t>62, 82, 101, 124, 140</t>
  </si>
  <si>
    <t>4, 9, 13, 17, 18, 22, 32, 42, 73, 122, 140</t>
  </si>
  <si>
    <t>выкуп 28.05</t>
  </si>
  <si>
    <t>Надежда1107</t>
  </si>
  <si>
    <t>Dezire</t>
  </si>
  <si>
    <t>87, 92, 104, 141</t>
  </si>
  <si>
    <t>23, 58, 141</t>
  </si>
  <si>
    <t>50, 141</t>
  </si>
  <si>
    <t>117, 141</t>
  </si>
  <si>
    <t>126, 141</t>
  </si>
  <si>
    <t>выкуп 05.06</t>
  </si>
  <si>
    <t>Тыквочк@</t>
  </si>
  <si>
    <t>135, 142</t>
  </si>
  <si>
    <t>134, 142</t>
  </si>
  <si>
    <t>выкуп 15.06</t>
  </si>
  <si>
    <t>Стюнюшка</t>
  </si>
  <si>
    <t>milka.</t>
  </si>
  <si>
    <t>32, 141, 143</t>
  </si>
  <si>
    <t>33, 35,40, 49, 75, 77, 88, 96, 104, 136, 143</t>
  </si>
  <si>
    <t>95, 115, 129, 131, 143</t>
  </si>
  <si>
    <t>40, 127, 143</t>
  </si>
  <si>
    <t>52, 69, 78, 79, 143</t>
  </si>
  <si>
    <t>NatMan</t>
  </si>
  <si>
    <t>с депозита 270р</t>
  </si>
  <si>
    <t>выкуп 27.06</t>
  </si>
  <si>
    <t>Elfik</t>
  </si>
  <si>
    <t>Basy</t>
  </si>
  <si>
    <t>Knoparty</t>
  </si>
  <si>
    <t>Evgeniya24</t>
  </si>
  <si>
    <t>21, 22, 25, 63, 67, 77, 90, 102, 104,117, 122, 144</t>
  </si>
  <si>
    <t>16(1), 29(2), 144</t>
  </si>
  <si>
    <t>80, 93, 98, 106, 119, 131, 144</t>
  </si>
  <si>
    <t>90, 119, 144</t>
  </si>
  <si>
    <t>выкуп 12.07</t>
  </si>
  <si>
    <t>elena_mama</t>
  </si>
  <si>
    <t>Елена100000</t>
  </si>
  <si>
    <t>Tahira09</t>
  </si>
  <si>
    <t>Viktory1526</t>
  </si>
  <si>
    <t>nata_sha</t>
  </si>
  <si>
    <t>128, 145</t>
  </si>
  <si>
    <t>81, 92, 114, 145</t>
  </si>
  <si>
    <t>выкуп 27.07</t>
  </si>
  <si>
    <t>Анна Коваленко</t>
  </si>
  <si>
    <t>olesyansk</t>
  </si>
  <si>
    <t>Юльча_05</t>
  </si>
  <si>
    <t>125, 126, 143, 146</t>
  </si>
  <si>
    <t>60, 94, 97, 114, 119, 131, 146</t>
  </si>
  <si>
    <t>115, 130, 132, 146</t>
  </si>
  <si>
    <t>выкуп 09.08</t>
  </si>
  <si>
    <t>Ксения Золотая</t>
  </si>
  <si>
    <t>Лиана123</t>
  </si>
  <si>
    <t>MirovichY</t>
  </si>
  <si>
    <t>29(2), 30, 31, 47, 71, 82, 147</t>
  </si>
  <si>
    <t>104, 129, 147</t>
  </si>
  <si>
    <t>144, 147</t>
  </si>
  <si>
    <t>110, 147</t>
  </si>
  <si>
    <t>134, 136, 137, 138, 147</t>
  </si>
  <si>
    <t>50, 52, 59, 63, 65, 147</t>
  </si>
  <si>
    <t>127, 147</t>
  </si>
  <si>
    <t xml:space="preserve">  20.08.2017</t>
  </si>
  <si>
    <t>выкуп 19.08</t>
  </si>
  <si>
    <t>Nasyasya</t>
  </si>
  <si>
    <t>Zvezdochka*</t>
  </si>
  <si>
    <t>YESka</t>
  </si>
  <si>
    <t>irishabatoeva</t>
  </si>
  <si>
    <t>137, 148</t>
  </si>
  <si>
    <t>63, 81, 104, 127, 148</t>
  </si>
  <si>
    <t>73, 75, 83, 87, 92, 104, 115, 123, 137, 144, 148</t>
  </si>
  <si>
    <t>16(2), 19, 25, 60, 64, 96, 113, 148</t>
  </si>
  <si>
    <t>29(2), 31, 65, 66, 79, 89, 95, 118,120, 135, 146, 148</t>
  </si>
  <si>
    <t>52, 54, 116, 148</t>
  </si>
  <si>
    <t>87, 148</t>
  </si>
  <si>
    <t>110р вернула на карту 21.08.18</t>
  </si>
  <si>
    <t xml:space="preserve">  31.08.2017</t>
  </si>
  <si>
    <t>выкуп 29.08</t>
  </si>
  <si>
    <t>чудовище</t>
  </si>
  <si>
    <t>ЕленаВеснина</t>
  </si>
  <si>
    <t>выкуп 06.09</t>
  </si>
  <si>
    <t>Афина22</t>
  </si>
  <si>
    <t>strekozuchka</t>
  </si>
  <si>
    <t>Natali_78</t>
  </si>
  <si>
    <t>еекатерина</t>
  </si>
  <si>
    <t>19, 25, 28, 30, 34, 35,41, 51, 53, 64, 82, 87, 88, 92, 98, 121, 149</t>
  </si>
  <si>
    <t>8, 16(1),19, 20, 21, 22, 23, 24, 28, 46, 96, 115, 119, 131, 135, 139, 141, 145, 150</t>
  </si>
  <si>
    <t>137, 139, 149</t>
  </si>
  <si>
    <t>136, 139, 140, 143, 150</t>
  </si>
  <si>
    <t>129, 149</t>
  </si>
  <si>
    <t>69, 105, 150</t>
  </si>
  <si>
    <t>134, 149</t>
  </si>
  <si>
    <t>66, 67, 72, 94, 96, 105, 106, 112, 115, 117,119, 130, 131, 135, 137, 139, 146, 147, 148, 150</t>
  </si>
  <si>
    <t>147, 149</t>
  </si>
  <si>
    <t>64, 84, 87, 90, 91, 99, 129, 150</t>
  </si>
  <si>
    <t>38, 44, 135, 142, 147, 150</t>
  </si>
  <si>
    <t>выкуп 14.09</t>
  </si>
  <si>
    <t xml:space="preserve">Мама Руси </t>
  </si>
  <si>
    <t xml:space="preserve">
Малышенька</t>
  </si>
  <si>
    <t>GRETTEL</t>
  </si>
  <si>
    <t>108, 147, 151</t>
  </si>
  <si>
    <t>134, 143, 146, 151</t>
  </si>
  <si>
    <t>8, 19, 20, 40, 60, 127, 130, 150, 151</t>
  </si>
  <si>
    <t>118, 134, 151</t>
  </si>
  <si>
    <t>145, 151</t>
  </si>
  <si>
    <t>143, 144, 151</t>
  </si>
  <si>
    <t>74, 96, 131, 151</t>
  </si>
  <si>
    <t>122, 151</t>
  </si>
  <si>
    <t>43, 127, 151</t>
  </si>
  <si>
    <t>Малышенька</t>
  </si>
  <si>
    <t>выкуп 21.09</t>
  </si>
  <si>
    <t>sharmo</t>
  </si>
  <si>
    <t>46, 152</t>
  </si>
  <si>
    <t>20, 27, 29(2), 31, 32, 34, 41, 43, 46, 48, 52, 54, 70, 72, 76, 82, 83, 102, 116, 117, 133, 134, 141, 144, 146, 152</t>
  </si>
  <si>
    <t>41, 60, 61, 79, 80, 86, 90, 152</t>
  </si>
  <si>
    <t>35, 36, 37, 38, 39, 44, 45, 49, 51, 58, 60, 61, 62, 64, 65, 66, 69, 72, 79, 80, 81, 85, 94, 109, 110, 119, 131, 132, 133, 135, 152</t>
  </si>
  <si>
    <t>148, 149, 151, 152</t>
  </si>
  <si>
    <t>49, 71, 152</t>
  </si>
  <si>
    <t>66, 152</t>
  </si>
  <si>
    <t>21, 34, 66, 130, 151</t>
  </si>
  <si>
    <t>выкуп 29.09</t>
  </si>
  <si>
    <t>Оплата до 02/10 включительно, об оплате пишите в форму оплат из 1 поста</t>
  </si>
  <si>
    <t>114, 119, 136, 138, 152</t>
  </si>
  <si>
    <t>144, 153</t>
  </si>
  <si>
    <t>139, 140, 153</t>
  </si>
  <si>
    <t>107, 153</t>
  </si>
  <si>
    <t>122, 123, 125, 135, 153</t>
  </si>
  <si>
    <t>126, 153</t>
  </si>
  <si>
    <t>145, 148, 152, 153</t>
  </si>
  <si>
    <t>107, 113, 115. 119, 129, 136, 144, 153</t>
  </si>
  <si>
    <t>59, 78, 81, 82, 86, 109, 153</t>
  </si>
  <si>
    <t>26р перенесено на щетки curaprox 10/10/17</t>
  </si>
  <si>
    <t>выкуп 09.10</t>
  </si>
  <si>
    <t xml:space="preserve">Котя84  </t>
  </si>
  <si>
    <t>Dereza</t>
  </si>
  <si>
    <t>Лиса Алиска</t>
  </si>
  <si>
    <t>3, 4, 5, 11, 12, 18, 19, 23, 24, 25, 26, 28, 31, 33, 34, 36, 55, 66, 67, 68, 86, 87, 100, 124, 125, 126, 129, 132, 133, 135, 139, 141, 143, 145, 146, 153, 154</t>
  </si>
  <si>
    <t>131, 134, 154</t>
  </si>
  <si>
    <t>29(1),40, 46, 80, 87, 88, 94, 130, 154</t>
  </si>
  <si>
    <t>41,42, 43, 45, 46, 47, 50, 51, 52, 53, 55, 56, 57, 58, 59, 60, 63, 65, 66, 67, 69, 71, 72, 75, 76, 79, 80, 82, 83, 84, 87, 89, 91, 93, 95, 100, 103, 104, 105, 106, 107, 109, 112, 113, 115, 121, 122, 124, 126, 128, 130, 131,134, 137, 139, 140, 144, 145, 148, 150, 154</t>
  </si>
  <si>
    <t>19, 21, 22, 29(1), 32, 40, 43, 54, 59, 65, 67, 69, 70, 75, 79, 84, 88, 92, 94, 95, 97, 103, 105, 106, 107, 108, 113,114, 117, 118, 123, 124, 125, 126, 136, 139, 144, 146, 147, 153, 154</t>
  </si>
  <si>
    <t>146, 147, 154</t>
  </si>
  <si>
    <t>101, 106, 109, 112, 116, 132, 133, 136, 153, 154</t>
  </si>
  <si>
    <t>4, 6, 8, 10, 11, 12, 13, 14, 15, 16(1), 17, 18, 20, 21, 22, 26, 29(1), 31, 32, 38, 39, 40, 55, 99, 128, 154</t>
  </si>
  <si>
    <t>59, 60, 79, 81, 106, 154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</si>
</sst>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8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rgb="FF00B05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8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9" fillId="0" borderId="0" xfId="42" applyFont="1" applyAlignment="1">
      <alignment/>
    </xf>
    <xf numFmtId="0" fontId="70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71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6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8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72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3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71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2" fillId="39" borderId="20" xfId="0" applyFont="1" applyFill="1" applyBorder="1" applyAlignment="1">
      <alignment wrapText="1"/>
    </xf>
    <xf numFmtId="0" fontId="74" fillId="34" borderId="0" xfId="0" applyFont="1" applyFill="1" applyAlignment="1">
      <alignment wrapText="1"/>
    </xf>
    <xf numFmtId="0" fontId="75" fillId="0" borderId="0" xfId="0" applyFont="1" applyAlignment="1">
      <alignment/>
    </xf>
    <xf numFmtId="0" fontId="74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2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6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6" fillId="39" borderId="20" xfId="0" applyFont="1" applyFill="1" applyBorder="1" applyAlignment="1">
      <alignment horizontal="center"/>
    </xf>
    <xf numFmtId="0" fontId="77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8" fillId="33" borderId="20" xfId="0" applyFont="1" applyFill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1" fontId="50" fillId="0" borderId="10" xfId="0" applyNumberFormat="1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3" fontId="50" fillId="0" borderId="20" xfId="0" applyNumberFormat="1" applyFont="1" applyBorder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3" fontId="50" fillId="0" borderId="14" xfId="0" applyNumberFormat="1" applyFont="1" applyBorder="1" applyAlignment="1">
      <alignment horizontal="center"/>
    </xf>
    <xf numFmtId="3" fontId="50" fillId="0" borderId="15" xfId="0" applyNumberFormat="1" applyFont="1" applyBorder="1" applyAlignment="1">
      <alignment horizontal="center"/>
    </xf>
    <xf numFmtId="3" fontId="50" fillId="0" borderId="13" xfId="0" applyNumberFormat="1" applyFont="1" applyBorder="1" applyAlignment="1">
      <alignment horizontal="center"/>
    </xf>
    <xf numFmtId="3" fontId="50" fillId="0" borderId="28" xfId="0" applyNumberFormat="1" applyFont="1" applyBorder="1" applyAlignment="1">
      <alignment horizontal="center"/>
    </xf>
    <xf numFmtId="3" fontId="50" fillId="0" borderId="22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3" fontId="50" fillId="0" borderId="29" xfId="0" applyNumberFormat="1" applyFont="1" applyBorder="1" applyAlignment="1">
      <alignment horizontal="center"/>
    </xf>
    <xf numFmtId="0" fontId="50" fillId="0" borderId="29" xfId="0" applyFont="1" applyBorder="1" applyAlignment="1">
      <alignment horizontal="center" wrapText="1"/>
    </xf>
    <xf numFmtId="0" fontId="70" fillId="34" borderId="11" xfId="42" applyNumberFormat="1" applyFont="1" applyFill="1" applyBorder="1" applyAlignment="1" applyProtection="1">
      <alignment horizontal="left"/>
      <protection/>
    </xf>
    <xf numFmtId="178" fontId="0" fillId="34" borderId="19" xfId="0" applyNumberForma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3" fillId="34" borderId="20" xfId="42" applyNumberFormat="1" applyFont="1" applyFill="1" applyBorder="1" applyAlignment="1" applyProtection="1">
      <alignment horizontal="left"/>
      <protection/>
    </xf>
    <xf numFmtId="0" fontId="3" fillId="34" borderId="10" xfId="42" applyNumberFormat="1" applyFont="1" applyFill="1" applyBorder="1" applyAlignment="1" applyProtection="1">
      <alignment/>
      <protection/>
    </xf>
    <xf numFmtId="0" fontId="3" fillId="34" borderId="10" xfId="42" applyNumberFormat="1" applyFont="1" applyFill="1" applyBorder="1" applyAlignment="1" applyProtection="1">
      <alignment horizontal="left"/>
      <protection/>
    </xf>
    <xf numFmtId="0" fontId="3" fillId="34" borderId="11" xfId="42" applyNumberFormat="1" applyFont="1" applyFill="1" applyBorder="1" applyAlignment="1" applyProtection="1">
      <alignment horizontal="left"/>
      <protection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4" xfId="42" applyNumberFormat="1" applyFont="1" applyFill="1" applyBorder="1" applyAlignment="1" applyProtection="1">
      <alignment/>
      <protection/>
    </xf>
    <xf numFmtId="0" fontId="3" fillId="34" borderId="16" xfId="42" applyNumberFormat="1" applyFont="1" applyFill="1" applyBorder="1" applyAlignment="1" applyProtection="1">
      <alignment/>
      <protection/>
    </xf>
    <xf numFmtId="0" fontId="3" fillId="34" borderId="16" xfId="42" applyNumberFormat="1" applyFont="1" applyFill="1" applyBorder="1" applyAlignment="1" applyProtection="1">
      <alignment horizontal="left"/>
      <protection/>
    </xf>
    <xf numFmtId="0" fontId="3" fillId="34" borderId="30" xfId="42" applyNumberFormat="1" applyFont="1" applyFill="1" applyBorder="1" applyAlignment="1" applyProtection="1">
      <alignment horizontal="left"/>
      <protection/>
    </xf>
    <xf numFmtId="0" fontId="3" fillId="34" borderId="20" xfId="42" applyNumberFormat="1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3" fillId="34" borderId="30" xfId="42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13" fillId="34" borderId="0" xfId="0" applyFont="1" applyFill="1" applyAlignment="1">
      <alignment wrapText="1"/>
    </xf>
    <xf numFmtId="0" fontId="3" fillId="34" borderId="0" xfId="42" applyNumberFormat="1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58" fillId="34" borderId="11" xfId="42" applyNumberFormat="1" applyFont="1" applyFill="1" applyBorder="1" applyAlignment="1" applyProtection="1">
      <alignment horizontal="left"/>
      <protection/>
    </xf>
    <xf numFmtId="0" fontId="58" fillId="34" borderId="20" xfId="42" applyNumberFormat="1" applyFont="1" applyFill="1" applyBorder="1" applyAlignment="1" applyProtection="1">
      <alignment horizontal="left"/>
      <protection/>
    </xf>
    <xf numFmtId="0" fontId="58" fillId="34" borderId="30" xfId="42" applyNumberFormat="1" applyFont="1" applyFill="1" applyBorder="1" applyAlignment="1" applyProtection="1">
      <alignment horizontal="left"/>
      <protection/>
    </xf>
    <xf numFmtId="0" fontId="58" fillId="34" borderId="20" xfId="42" applyNumberFormat="1" applyFont="1" applyFill="1" applyBorder="1" applyAlignment="1" applyProtection="1">
      <alignment/>
      <protection/>
    </xf>
    <xf numFmtId="0" fontId="3" fillId="34" borderId="31" xfId="42" applyNumberFormat="1" applyFont="1" applyFill="1" applyBorder="1" applyAlignment="1" applyProtection="1">
      <alignment horizontal="left"/>
      <protection/>
    </xf>
    <xf numFmtId="0" fontId="3" fillId="34" borderId="20" xfId="0" applyFont="1" applyFill="1" applyBorder="1" applyAlignment="1">
      <alignment/>
    </xf>
    <xf numFmtId="0" fontId="28" fillId="34" borderId="11" xfId="42" applyNumberFormat="1" applyFont="1" applyFill="1" applyBorder="1" applyAlignment="1" applyProtection="1">
      <alignment/>
      <protection/>
    </xf>
    <xf numFmtId="1" fontId="50" fillId="0" borderId="20" xfId="0" applyNumberFormat="1" applyFont="1" applyBorder="1" applyAlignment="1">
      <alignment horizontal="center" wrapText="1"/>
    </xf>
    <xf numFmtId="0" fontId="78" fillId="34" borderId="11" xfId="42" applyNumberFormat="1" applyFont="1" applyFill="1" applyBorder="1" applyAlignment="1" applyProtection="1">
      <alignment horizontal="left"/>
      <protection/>
    </xf>
    <xf numFmtId="0" fontId="78" fillId="34" borderId="10" xfId="42" applyNumberFormat="1" applyFont="1" applyFill="1" applyBorder="1" applyAlignment="1" applyProtection="1">
      <alignment horizontal="left"/>
      <protection/>
    </xf>
    <xf numFmtId="0" fontId="58" fillId="34" borderId="14" xfId="42" applyNumberFormat="1" applyFont="1" applyFill="1" applyBorder="1" applyAlignment="1" applyProtection="1">
      <alignment horizontal="left"/>
      <protection/>
    </xf>
    <xf numFmtId="0" fontId="3" fillId="0" borderId="30" xfId="0" applyFont="1" applyBorder="1" applyAlignment="1">
      <alignment/>
    </xf>
    <xf numFmtId="0" fontId="3" fillId="0" borderId="14" xfId="0" applyFont="1" applyBorder="1" applyAlignment="1">
      <alignment/>
    </xf>
    <xf numFmtId="0" fontId="58" fillId="0" borderId="20" xfId="0" applyFont="1" applyBorder="1" applyAlignment="1">
      <alignment/>
    </xf>
    <xf numFmtId="0" fontId="79" fillId="34" borderId="11" xfId="42" applyNumberFormat="1" applyFont="1" applyFill="1" applyBorder="1" applyAlignment="1" applyProtection="1">
      <alignment horizontal="left"/>
      <protection/>
    </xf>
    <xf numFmtId="0" fontId="3" fillId="34" borderId="30" xfId="0" applyFont="1" applyFill="1" applyBorder="1" applyAlignment="1">
      <alignment/>
    </xf>
    <xf numFmtId="0" fontId="79" fillId="34" borderId="30" xfId="42" applyNumberFormat="1" applyFont="1" applyFill="1" applyBorder="1" applyAlignment="1" applyProtection="1">
      <alignment horizontal="left"/>
      <protection/>
    </xf>
    <xf numFmtId="0" fontId="28" fillId="34" borderId="20" xfId="42" applyNumberFormat="1" applyFont="1" applyFill="1" applyBorder="1" applyAlignment="1" applyProtection="1">
      <alignment horizontal="left"/>
      <protection/>
    </xf>
    <xf numFmtId="0" fontId="79" fillId="34" borderId="20" xfId="42" applyNumberFormat="1" applyFont="1" applyFill="1" applyBorder="1" applyAlignment="1" applyProtection="1">
      <alignment horizontal="left"/>
      <protection/>
    </xf>
    <xf numFmtId="0" fontId="3" fillId="34" borderId="32" xfId="42" applyNumberFormat="1" applyFont="1" applyFill="1" applyBorder="1" applyAlignment="1" applyProtection="1">
      <alignment horizontal="left"/>
      <protection/>
    </xf>
    <xf numFmtId="0" fontId="58" fillId="34" borderId="11" xfId="42" applyNumberFormat="1" applyFont="1" applyFill="1" applyBorder="1" applyAlignment="1" applyProtection="1">
      <alignment/>
      <protection/>
    </xf>
    <xf numFmtId="0" fontId="3" fillId="34" borderId="15" xfId="42" applyNumberFormat="1" applyFont="1" applyFill="1" applyBorder="1" applyAlignment="1" applyProtection="1">
      <alignment horizontal="left"/>
      <protection/>
    </xf>
    <xf numFmtId="0" fontId="3" fillId="0" borderId="16" xfId="0" applyFont="1" applyBorder="1" applyAlignment="1">
      <alignment/>
    </xf>
    <xf numFmtId="0" fontId="58" fillId="34" borderId="10" xfId="42" applyNumberFormat="1" applyFont="1" applyFill="1" applyBorder="1" applyAlignment="1" applyProtection="1">
      <alignment horizontal="left"/>
      <protection/>
    </xf>
    <xf numFmtId="0" fontId="79" fillId="34" borderId="10" xfId="42" applyNumberFormat="1" applyFont="1" applyFill="1" applyBorder="1" applyAlignment="1" applyProtection="1">
      <alignment horizontal="left"/>
      <protection/>
    </xf>
    <xf numFmtId="0" fontId="50" fillId="0" borderId="27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styles" Target="styles.xml" /><Relationship Id="rId159" Type="http://schemas.openxmlformats.org/officeDocument/2006/relationships/sharedStrings" Target="sharedStrings.xml" /><Relationship Id="rId1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6"/>
  <sheetViews>
    <sheetView zoomScale="90" zoomScaleNormal="90" zoomScalePageLayoutView="0" workbookViewId="0" topLeftCell="A418">
      <selection activeCell="A5" sqref="A5"/>
    </sheetView>
  </sheetViews>
  <sheetFormatPr defaultColWidth="9.140625" defaultRowHeight="15"/>
  <cols>
    <col min="1" max="1" width="30.57421875" style="197" customWidth="1"/>
    <col min="2" max="2" width="17.8515625" style="177" customWidth="1"/>
    <col min="3" max="3" width="28.421875" style="168" customWidth="1"/>
  </cols>
  <sheetData>
    <row r="1" spans="1:4" ht="28.5">
      <c r="A1" s="182" t="s">
        <v>0</v>
      </c>
      <c r="B1" s="162" t="s">
        <v>1</v>
      </c>
      <c r="C1" s="162" t="s">
        <v>2</v>
      </c>
      <c r="D1" s="2" t="s">
        <v>3</v>
      </c>
    </row>
    <row r="2" spans="1:3" ht="14.25">
      <c r="A2" s="183">
        <v>51150</v>
      </c>
      <c r="B2" s="169">
        <f>'44'!G6+'69'!I7+'107'!I7</f>
        <v>9.102696036869133</v>
      </c>
      <c r="C2" s="163" t="s">
        <v>920</v>
      </c>
    </row>
    <row r="3" spans="1:3" ht="14.25">
      <c r="A3" s="184" t="s">
        <v>4</v>
      </c>
      <c r="B3" s="170">
        <f>'13'!I5</f>
        <v>-1.3089919999999893</v>
      </c>
      <c r="C3" s="164">
        <v>13</v>
      </c>
    </row>
    <row r="4" spans="1:3" ht="14.25">
      <c r="A4" s="184" t="s">
        <v>5</v>
      </c>
      <c r="B4" s="170">
        <f>'12'!I7+'16(2)'!I4+'26'!G7+'29(1)'!G13+'62'!I14</f>
        <v>-0.25754055376455653</v>
      </c>
      <c r="C4" s="164" t="s">
        <v>605</v>
      </c>
    </row>
    <row r="5" spans="1:3" ht="14.25">
      <c r="A5" s="185" t="s">
        <v>898</v>
      </c>
      <c r="B5" s="170">
        <f>'66'!I19+'152'!I5</f>
        <v>37.67276452717641</v>
      </c>
      <c r="C5" s="164" t="s">
        <v>1292</v>
      </c>
    </row>
    <row r="6" spans="1:3" ht="28.5">
      <c r="A6" s="186" t="s">
        <v>7</v>
      </c>
      <c r="B6" s="170">
        <f>4!I9+9!I9+'13'!I4+'17'!I15+'18'!I14+'22'!G6+'32'!G5+'42'!G11+'73'!I10+'122'!I10+'140'!I7</f>
        <v>-12.373356298511567</v>
      </c>
      <c r="C6" s="164" t="s">
        <v>1178</v>
      </c>
    </row>
    <row r="7" spans="1:3" ht="14.25">
      <c r="A7" s="121" t="s">
        <v>954</v>
      </c>
      <c r="B7" s="170">
        <f>'114'!I8</f>
        <v>0.2629691213167007</v>
      </c>
      <c r="C7" s="164">
        <v>114</v>
      </c>
    </row>
    <row r="8" spans="1:3" ht="14.25">
      <c r="A8" s="186" t="s">
        <v>963</v>
      </c>
      <c r="B8" s="170">
        <f>'115'!I4+'130'!I5+'132'!I15+'146'!I11</f>
        <v>0.15821342208505484</v>
      </c>
      <c r="C8" s="164" t="s">
        <v>1224</v>
      </c>
    </row>
    <row r="9" spans="1:3" ht="28.5">
      <c r="A9" s="121" t="s">
        <v>8</v>
      </c>
      <c r="B9" s="170">
        <f>'19'!I8+'25'!G12+'28'!G16+'30'!G7+'34'!G7+'35'!G4+'41'!G4+'51'!H14+'53'!H4+'64'!I9+'82'!I7+'87'!I11+'88'!I10+'92'!I14+'98'!I10+'121'!I7+'149'!I5</f>
        <v>0.9156951919724179</v>
      </c>
      <c r="C9" s="164" t="s">
        <v>1259</v>
      </c>
    </row>
    <row r="10" spans="1:3" ht="14.25">
      <c r="A10" s="187" t="s">
        <v>1054</v>
      </c>
      <c r="B10" s="170">
        <f>'125'!I13</f>
        <v>-19.557042032400886</v>
      </c>
      <c r="C10" s="164">
        <v>125</v>
      </c>
    </row>
    <row r="11" spans="1:3" ht="14.25">
      <c r="A11" s="186" t="s">
        <v>683</v>
      </c>
      <c r="B11" s="170">
        <f>'72'!I12+'81'!I12</f>
        <v>9.354004513545306</v>
      </c>
      <c r="C11" s="164" t="s">
        <v>750</v>
      </c>
    </row>
    <row r="12" spans="1:3" ht="14.25">
      <c r="A12" s="186" t="s">
        <v>691</v>
      </c>
      <c r="B12" s="170">
        <f>'73'!I4</f>
        <v>20.4538150793652</v>
      </c>
      <c r="C12" s="164">
        <v>73</v>
      </c>
    </row>
    <row r="13" spans="1:3" ht="14.25">
      <c r="A13" s="121" t="s">
        <v>9</v>
      </c>
      <c r="B13" s="170">
        <f>'17'!I11+'18'!I8+'21'!G12+'22'!G10</f>
        <v>4.369893859560989</v>
      </c>
      <c r="C13" s="164" t="s">
        <v>10</v>
      </c>
    </row>
    <row r="14" spans="1:3" ht="14.25">
      <c r="A14" s="186" t="s">
        <v>771</v>
      </c>
      <c r="B14" s="170">
        <f>'85'!I6</f>
        <v>-33.98408762811141</v>
      </c>
      <c r="C14" s="164">
        <v>85</v>
      </c>
    </row>
    <row r="15" spans="1:3" ht="14.25">
      <c r="A15" s="121" t="s">
        <v>568</v>
      </c>
      <c r="B15" s="170">
        <f>'59'!I8+'93'!I5</f>
        <v>0.07968912931892191</v>
      </c>
      <c r="C15" s="164" t="s">
        <v>837</v>
      </c>
    </row>
    <row r="16" spans="1:3" ht="14.25">
      <c r="A16" s="186" t="s">
        <v>426</v>
      </c>
      <c r="B16" s="170">
        <f>'43'!G10+'127'!I4+'151'!I14</f>
        <v>-4.522459186776246</v>
      </c>
      <c r="C16" s="164" t="s">
        <v>1282</v>
      </c>
    </row>
    <row r="17" spans="1:3" ht="14.25">
      <c r="A17" s="121" t="s">
        <v>11</v>
      </c>
      <c r="B17" s="170">
        <f>'27'!G4+'64'!I11+'71'!I6+'101'!I6</f>
        <v>-0.5394698473224935</v>
      </c>
      <c r="C17" s="164" t="s">
        <v>884</v>
      </c>
    </row>
    <row r="18" spans="1:3" ht="14.25">
      <c r="A18" s="188" t="s">
        <v>1004</v>
      </c>
      <c r="B18" s="170">
        <f>'119'!I11+'121'!I8</f>
        <v>-1.4818194072558981</v>
      </c>
      <c r="C18" s="164" t="s">
        <v>1018</v>
      </c>
    </row>
    <row r="19" spans="1:3" ht="14.25">
      <c r="A19" s="186" t="s">
        <v>1041</v>
      </c>
      <c r="B19" s="170">
        <f>'124'!I12</f>
        <v>-4.867648185776488</v>
      </c>
      <c r="C19" s="164">
        <v>124</v>
      </c>
    </row>
    <row r="20" spans="1:3" ht="14.25">
      <c r="A20" s="186" t="s">
        <v>746</v>
      </c>
      <c r="B20" s="170">
        <f>'81'!I16+'92'!I15+'114'!I13+'145'!I11</f>
        <v>-0.36823013249681935</v>
      </c>
      <c r="C20" s="164" t="s">
        <v>1217</v>
      </c>
    </row>
    <row r="21" spans="1:3" ht="14.25">
      <c r="A21" s="186" t="s">
        <v>905</v>
      </c>
      <c r="B21" s="170">
        <f>'105'!I8+'132'!I14</f>
        <v>0.2963090403627575</v>
      </c>
      <c r="C21" s="164" t="s">
        <v>1105</v>
      </c>
    </row>
    <row r="22" spans="1:3" ht="14.25">
      <c r="A22" s="186" t="s">
        <v>909</v>
      </c>
      <c r="B22" s="170">
        <f>'106'!I4</f>
        <v>24.71253392491508</v>
      </c>
      <c r="C22" s="164">
        <v>106</v>
      </c>
    </row>
    <row r="23" spans="1:3" ht="14.25">
      <c r="A23" s="121" t="s">
        <v>12</v>
      </c>
      <c r="B23" s="170">
        <f>'29(1)'!G9</f>
        <v>-0.09830079155688054</v>
      </c>
      <c r="C23" s="164" t="s">
        <v>13</v>
      </c>
    </row>
    <row r="24" spans="1:3" ht="14.25">
      <c r="A24" s="121" t="s">
        <v>428</v>
      </c>
      <c r="B24" s="170">
        <f>'43'!G16</f>
        <v>0.9107395409745322</v>
      </c>
      <c r="C24" s="164">
        <v>43</v>
      </c>
    </row>
    <row r="25" spans="1:3" ht="14.25">
      <c r="A25" s="187" t="s">
        <v>14</v>
      </c>
      <c r="B25" s="170">
        <f>'21'!G17+'34'!G11+'66'!I8+'130'!I6+'151'!I13</f>
        <v>-0.19642039578479853</v>
      </c>
      <c r="C25" s="164" t="s">
        <v>1293</v>
      </c>
    </row>
    <row r="26" spans="1:3" ht="14.25">
      <c r="A26" s="186" t="s">
        <v>1025</v>
      </c>
      <c r="B26" s="170">
        <f>'122'!I11+'151'!I13</f>
        <v>2.0033424008852307</v>
      </c>
      <c r="C26" s="164" t="s">
        <v>1281</v>
      </c>
    </row>
    <row r="27" spans="1:3" ht="14.25">
      <c r="A27" s="121" t="s">
        <v>15</v>
      </c>
      <c r="B27" s="170">
        <f>8!I10+9!I11+'12'!I15</f>
        <v>2.434347858294302</v>
      </c>
      <c r="C27" s="164" t="s">
        <v>16</v>
      </c>
    </row>
    <row r="28" spans="1:3" ht="14.25">
      <c r="A28" s="187" t="s">
        <v>652</v>
      </c>
      <c r="B28" s="170">
        <f>'68'!I8+'89'!I10+'97'!I13+'117'!I10+'128'!I7+'130'!I13</f>
        <v>17.965411514739174</v>
      </c>
      <c r="C28" s="164" t="s">
        <v>1094</v>
      </c>
    </row>
    <row r="29" spans="1:3" ht="14.25">
      <c r="A29" s="186" t="s">
        <v>478</v>
      </c>
      <c r="B29" s="170">
        <f>'49'!G6+'71'!I9+'152'!I8</f>
        <v>-16.20155923604068</v>
      </c>
      <c r="C29" s="164" t="s">
        <v>1291</v>
      </c>
    </row>
    <row r="30" spans="1:3" ht="14.25">
      <c r="A30" s="187" t="s">
        <v>1116</v>
      </c>
      <c r="B30" s="170">
        <f>'133'!I10</f>
        <v>0.09340838334264845</v>
      </c>
      <c r="C30" s="164">
        <v>133</v>
      </c>
    </row>
    <row r="31" spans="1:3" ht="14.25">
      <c r="A31" s="187" t="s">
        <v>354</v>
      </c>
      <c r="B31" s="170">
        <f>'40'!G19+'44'!G12+'49'!G11+'66'!I4+'117'!I9+'118'!I10+'135'!I7</f>
        <v>-4.628443468400093</v>
      </c>
      <c r="C31" s="164" t="s">
        <v>1137</v>
      </c>
    </row>
    <row r="32" spans="1:3" ht="14.25">
      <c r="A32" s="187" t="s">
        <v>912</v>
      </c>
      <c r="B32" s="170">
        <f>'106'!I9</f>
        <v>-0.4353367918083677</v>
      </c>
      <c r="C32" s="164">
        <v>106</v>
      </c>
    </row>
    <row r="33" spans="1:3" ht="14.25">
      <c r="A33" s="187" t="s">
        <v>1003</v>
      </c>
      <c r="B33" s="170">
        <f>'119'!I10</f>
        <v>35.09605397042105</v>
      </c>
      <c r="C33" s="164">
        <v>119</v>
      </c>
    </row>
    <row r="34" spans="1:3" ht="14.25">
      <c r="A34" s="186" t="s">
        <v>956</v>
      </c>
      <c r="B34" s="170">
        <f>'114'!I11+'119'!I21+'136'!I9+'138'!I9+'153'!I4</f>
        <v>21.675639088367745</v>
      </c>
      <c r="C34" s="164" t="s">
        <v>1296</v>
      </c>
    </row>
    <row r="35" spans="1:3" ht="14.25">
      <c r="A35" s="187" t="s">
        <v>17</v>
      </c>
      <c r="B35" s="170">
        <f>'11'!I12</f>
        <v>0.12749727463324234</v>
      </c>
      <c r="C35" s="164">
        <v>11</v>
      </c>
    </row>
    <row r="36" spans="1:3" ht="14.25">
      <c r="A36" s="187" t="s">
        <v>1139</v>
      </c>
      <c r="B36" s="170">
        <f>'136'!I7</f>
        <v>10.475321592920409</v>
      </c>
      <c r="C36" s="164">
        <v>136</v>
      </c>
    </row>
    <row r="37" spans="1:3" ht="14.25">
      <c r="A37" s="187" t="s">
        <v>858</v>
      </c>
      <c r="B37" s="170">
        <f>'97'!I11+'103'!I12+'109'!I8+'116'!I9+'118'!I12+'121'!I9</f>
        <v>29.446764413776236</v>
      </c>
      <c r="C37" s="164" t="s">
        <v>1019</v>
      </c>
    </row>
    <row r="38" spans="1:3" ht="14.25">
      <c r="A38" s="187" t="s">
        <v>18</v>
      </c>
      <c r="B38" s="170">
        <f>9!I10+'16(1)'!I10</f>
        <v>-2.040680921612079</v>
      </c>
      <c r="C38" s="164" t="s">
        <v>19</v>
      </c>
    </row>
    <row r="39" spans="1:3" ht="14.25">
      <c r="A39" s="121" t="s">
        <v>744</v>
      </c>
      <c r="B39" s="170">
        <f>'81'!I11+'91'!I6</f>
        <v>5.623645130467651</v>
      </c>
      <c r="C39" s="164" t="s">
        <v>817</v>
      </c>
    </row>
    <row r="40" spans="1:3" ht="14.25">
      <c r="A40" s="121" t="s">
        <v>544</v>
      </c>
      <c r="B40" s="170">
        <f>'56'!I13+'80'!I4+'99'!I5</f>
        <v>-3.175572185214037</v>
      </c>
      <c r="C40" s="164" t="s">
        <v>877</v>
      </c>
    </row>
    <row r="41" spans="1:3" ht="14.25">
      <c r="A41" s="187" t="s">
        <v>822</v>
      </c>
      <c r="B41" s="170">
        <f>'92'!I10+'99'!I13+'115'!I15+'125'!I16</f>
        <v>0.47890803969448825</v>
      </c>
      <c r="C41" s="164" t="s">
        <v>1057</v>
      </c>
    </row>
    <row r="42" spans="1:3" ht="14.25">
      <c r="A42" s="121" t="s">
        <v>20</v>
      </c>
      <c r="B42" s="170">
        <f>'12'!I14+'21'!G7</f>
        <v>5.670734018123653</v>
      </c>
      <c r="C42" s="164" t="s">
        <v>21</v>
      </c>
    </row>
    <row r="43" spans="1:3" ht="14.25">
      <c r="A43" s="186" t="s">
        <v>600</v>
      </c>
      <c r="B43" s="170">
        <f>'62'!I15+'82'!I6+'101'!I10+'124'!I13+'140'!I6</f>
        <v>0.11006501191286588</v>
      </c>
      <c r="C43" s="164" t="s">
        <v>1177</v>
      </c>
    </row>
    <row r="44" spans="1:3" ht="14.25">
      <c r="A44" s="121" t="s">
        <v>22</v>
      </c>
      <c r="B44" s="170">
        <f>'21'!G15</f>
        <v>2.064372907545703</v>
      </c>
      <c r="C44" s="164">
        <v>21</v>
      </c>
    </row>
    <row r="45" spans="1:3" ht="14.25">
      <c r="A45" s="186" t="s">
        <v>283</v>
      </c>
      <c r="B45" s="170">
        <f>9!I12+'10'!I5+'19'!I11+'26'!G12+'70'!I10+'96'!I10+'112'!I5+'132'!I5</f>
        <v>-7.928855272253088</v>
      </c>
      <c r="C45" s="164" t="s">
        <v>1106</v>
      </c>
    </row>
    <row r="46" spans="1:3" ht="14.25">
      <c r="A46" s="121" t="s">
        <v>889</v>
      </c>
      <c r="B46" s="170">
        <f>'102'!I6+'104'!I8</f>
        <v>-0.1949949434088012</v>
      </c>
      <c r="C46" s="164" t="s">
        <v>899</v>
      </c>
    </row>
    <row r="47" spans="1:3" ht="14.25">
      <c r="A47" s="121" t="s">
        <v>768</v>
      </c>
      <c r="B47" s="170">
        <f>'84'!I8</f>
        <v>-10.732486793002863</v>
      </c>
      <c r="C47" s="164">
        <v>84</v>
      </c>
    </row>
    <row r="48" spans="1:3" ht="14.25">
      <c r="A48" s="186" t="s">
        <v>1064</v>
      </c>
      <c r="B48" s="170">
        <f>'126'!I9+'141'!I14</f>
        <v>0.1976146256533866</v>
      </c>
      <c r="C48" s="164" t="s">
        <v>1186</v>
      </c>
    </row>
    <row r="49" spans="1:3" ht="14.25">
      <c r="A49" s="186" t="s">
        <v>1203</v>
      </c>
      <c r="B49" s="170">
        <f>'144'!I9+'153'!I6</f>
        <v>1.3379663211862862</v>
      </c>
      <c r="C49" s="164" t="s">
        <v>1297</v>
      </c>
    </row>
    <row r="50" spans="1:3" ht="14.25">
      <c r="A50" s="186" t="s">
        <v>24</v>
      </c>
      <c r="B50" s="170">
        <f>'29(2)'!G17+'30'!G8+'31'!G8+'47'!G6+'71'!I12+'82'!I17+'147'!I14</f>
        <v>0.3866336650360154</v>
      </c>
      <c r="C50" s="164" t="s">
        <v>1229</v>
      </c>
    </row>
    <row r="51" spans="1:3" ht="14.25">
      <c r="A51" s="121" t="s">
        <v>407</v>
      </c>
      <c r="B51" s="170">
        <f>'40'!G8+'47'!G7</f>
        <v>-22.674280615426483</v>
      </c>
      <c r="C51" s="164" t="s">
        <v>467</v>
      </c>
    </row>
    <row r="52" spans="1:3" ht="14.25">
      <c r="A52" s="121" t="s">
        <v>674</v>
      </c>
      <c r="B52" s="170">
        <f>'71'!I7+'74'!I7</f>
        <v>27.336688945246237</v>
      </c>
      <c r="C52" s="164" t="s">
        <v>710</v>
      </c>
    </row>
    <row r="53" spans="1:3" ht="14.25">
      <c r="A53" s="121" t="s">
        <v>25</v>
      </c>
      <c r="B53" s="170">
        <f>'26'!G5</f>
        <v>-0.10356042451223857</v>
      </c>
      <c r="C53" s="164">
        <v>26</v>
      </c>
    </row>
    <row r="54" spans="1:3" ht="14.25">
      <c r="A54" s="121" t="s">
        <v>509</v>
      </c>
      <c r="B54" s="170">
        <f>'52'!H6+'56'!I5+'62'!I6</f>
        <v>8.687438034167826</v>
      </c>
      <c r="C54" s="164" t="s">
        <v>603</v>
      </c>
    </row>
    <row r="55" spans="1:3" ht="14.25">
      <c r="A55" s="121" t="s">
        <v>26</v>
      </c>
      <c r="B55" s="171">
        <v>0</v>
      </c>
      <c r="C55" s="164">
        <v>1</v>
      </c>
    </row>
    <row r="56" spans="1:3" ht="14.25">
      <c r="A56" s="121" t="s">
        <v>27</v>
      </c>
      <c r="B56" s="170">
        <f>'25'!G11+'30'!G5</f>
        <v>0.3381755466394907</v>
      </c>
      <c r="C56" s="164" t="s">
        <v>28</v>
      </c>
    </row>
    <row r="57" spans="1:3" ht="14.25">
      <c r="A57" s="121" t="s">
        <v>29</v>
      </c>
      <c r="B57" s="170">
        <f>'23'!G9</f>
        <v>0.3364005144694602</v>
      </c>
      <c r="C57" s="164">
        <v>23</v>
      </c>
    </row>
    <row r="58" spans="1:3" ht="14.25">
      <c r="A58" s="121" t="s">
        <v>30</v>
      </c>
      <c r="B58" s="170">
        <f>'16(2)'!I5</f>
        <v>-0.5701303712178856</v>
      </c>
      <c r="C58" s="164" t="s">
        <v>31</v>
      </c>
    </row>
    <row r="59" spans="1:3" ht="14.25">
      <c r="A59" s="121" t="s">
        <v>705</v>
      </c>
      <c r="B59" s="170">
        <f>'74'!I8</f>
        <v>0.2498641630900238</v>
      </c>
      <c r="C59" s="164">
        <v>74</v>
      </c>
    </row>
    <row r="60" spans="1:3" ht="14.25">
      <c r="A60" s="121" t="s">
        <v>970</v>
      </c>
      <c r="B60" s="170">
        <f>'116'!I7</f>
        <v>0.4129366047950498</v>
      </c>
      <c r="C60" s="164">
        <v>116</v>
      </c>
    </row>
    <row r="61" spans="1:3" ht="14.25">
      <c r="A61" s="121" t="s">
        <v>441</v>
      </c>
      <c r="B61" s="170">
        <f>'44'!G7+'76'!I5</f>
        <v>23.25500408897142</v>
      </c>
      <c r="C61" s="164" t="s">
        <v>720</v>
      </c>
    </row>
    <row r="62" spans="1:3" ht="14.25">
      <c r="A62" s="186" t="s">
        <v>745</v>
      </c>
      <c r="B62" s="170">
        <f>'81'!I15+'102'!I7+'103'!I4+'132'!I8</f>
        <v>0.19351402906056592</v>
      </c>
      <c r="C62" s="164" t="s">
        <v>1107</v>
      </c>
    </row>
    <row r="63" spans="1:3" ht="14.25">
      <c r="A63" s="186" t="s">
        <v>1157</v>
      </c>
      <c r="B63" s="170">
        <f>'138'!I7</f>
        <v>-12.442208302986046</v>
      </c>
      <c r="C63" s="164">
        <v>138</v>
      </c>
    </row>
    <row r="64" spans="1:3" ht="14.25">
      <c r="A64" s="121" t="s">
        <v>415</v>
      </c>
      <c r="B64" s="170">
        <f>'41'!G9</f>
        <v>0.3835863126616914</v>
      </c>
      <c r="C64" s="164">
        <v>41</v>
      </c>
    </row>
    <row r="65" spans="1:3" ht="14.25">
      <c r="A65" s="186" t="s">
        <v>897</v>
      </c>
      <c r="B65" s="170">
        <f>'104'!I10+'129'!I7+'147'!I10</f>
        <v>3.0592511736035704</v>
      </c>
      <c r="C65" s="164" t="s">
        <v>1230</v>
      </c>
    </row>
    <row r="66" spans="1:3" ht="14.25">
      <c r="A66" s="185" t="s">
        <v>769</v>
      </c>
      <c r="B66" s="170">
        <f>'84'!I9+'86'!I5+'92'!I12</f>
        <v>-0.23743167206487215</v>
      </c>
      <c r="C66" s="164" t="s">
        <v>828</v>
      </c>
    </row>
    <row r="67" spans="1:3" ht="14.25">
      <c r="A67" s="187" t="s">
        <v>949</v>
      </c>
      <c r="B67" s="170">
        <f>'113'!I16+'115'!I13+'125'!I20</f>
        <v>-0.079160772457044</v>
      </c>
      <c r="C67" s="164" t="s">
        <v>1058</v>
      </c>
    </row>
    <row r="68" spans="1:3" ht="14.25">
      <c r="A68" s="186" t="s">
        <v>812</v>
      </c>
      <c r="B68" s="170">
        <f>'90'!I7+'119'!I15+'144'!I12</f>
        <v>-60.50250576078383</v>
      </c>
      <c r="C68" s="164" t="s">
        <v>1209</v>
      </c>
    </row>
    <row r="69" spans="1:3" ht="14.25">
      <c r="A69" s="186" t="s">
        <v>907</v>
      </c>
      <c r="B69" s="170">
        <f>'105'!I14</f>
        <v>0.2837046352857442</v>
      </c>
      <c r="C69" s="164">
        <v>105</v>
      </c>
    </row>
    <row r="70" spans="1:3" ht="14.25">
      <c r="A70" s="121" t="s">
        <v>616</v>
      </c>
      <c r="B70" s="170">
        <f>'64'!I8+'89'!I11</f>
        <v>-0.3134149111997431</v>
      </c>
      <c r="C70" s="164" t="s">
        <v>809</v>
      </c>
    </row>
    <row r="71" spans="1:3" ht="14.25">
      <c r="A71" s="121" t="s">
        <v>881</v>
      </c>
      <c r="B71" s="170">
        <f>'101'!I7</f>
        <v>-1.0051904402515675</v>
      </c>
      <c r="C71" s="164">
        <v>101</v>
      </c>
    </row>
    <row r="72" spans="1:3" ht="14.25">
      <c r="A72" s="121" t="s">
        <v>32</v>
      </c>
      <c r="B72" s="170">
        <f>'25'!G13+'27'!G5+'29(1)'!G8</f>
        <v>1.20741018115433</v>
      </c>
      <c r="C72" s="164" t="s">
        <v>33</v>
      </c>
    </row>
    <row r="73" spans="1:3" ht="14.25">
      <c r="A73" s="215" t="s">
        <v>1308</v>
      </c>
      <c r="B73" s="170">
        <f>'154'!I7</f>
        <v>-34.15332269789229</v>
      </c>
      <c r="C73" s="164">
        <v>154</v>
      </c>
    </row>
    <row r="74" spans="1:3" ht="14.25">
      <c r="A74" s="186" t="s">
        <v>1181</v>
      </c>
      <c r="B74" s="170">
        <f>'141'!I13</f>
        <v>-0.46234723639076947</v>
      </c>
      <c r="C74" s="164">
        <v>141</v>
      </c>
    </row>
    <row r="75" spans="1:3" ht="14.25">
      <c r="A75" s="121" t="s">
        <v>408</v>
      </c>
      <c r="B75" s="170">
        <f>'40'!G11</f>
        <v>2.5724866361206296</v>
      </c>
      <c r="C75" s="164">
        <v>40</v>
      </c>
    </row>
    <row r="76" spans="1:3" ht="14.25">
      <c r="A76" s="121" t="s">
        <v>330</v>
      </c>
      <c r="B76" s="170">
        <f>'14'!I8+'27'!G7+'29(2)'!G5+'38'!G12+'89'!I7+'136'!I10</f>
        <v>-2.7128535513620022</v>
      </c>
      <c r="C76" s="164" t="s">
        <v>1141</v>
      </c>
    </row>
    <row r="77" spans="1:3" ht="14.25">
      <c r="A77" s="121" t="s">
        <v>35</v>
      </c>
      <c r="B77" s="170">
        <f>'33'!G19</f>
        <v>3.223134153165347</v>
      </c>
      <c r="C77" s="164">
        <v>33</v>
      </c>
    </row>
    <row r="78" spans="1:3" ht="14.25">
      <c r="A78" s="121" t="s">
        <v>36</v>
      </c>
      <c r="B78" s="170">
        <f>'37'!G9+'39'!G9+'65'!I10+'88'!I13</f>
        <v>-31.691741395181907</v>
      </c>
      <c r="C78" s="164" t="s">
        <v>797</v>
      </c>
    </row>
    <row r="79" spans="1:3" ht="14.25">
      <c r="A79" s="186" t="s">
        <v>852</v>
      </c>
      <c r="B79" s="170">
        <f>'96'!I12</f>
        <v>-0.23008516483503172</v>
      </c>
      <c r="C79" s="164">
        <v>96</v>
      </c>
    </row>
    <row r="80" spans="1:3" ht="14.25">
      <c r="A80" s="121" t="s">
        <v>892</v>
      </c>
      <c r="B80" s="170">
        <f>'103'!I5</f>
        <v>2.606717689530683</v>
      </c>
      <c r="C80" s="164">
        <v>103</v>
      </c>
    </row>
    <row r="81" spans="1:3" ht="14.25">
      <c r="A81" s="121" t="s">
        <v>37</v>
      </c>
      <c r="B81" s="170">
        <f>'37'!G8+'41'!G5</f>
        <v>-0.21599757054173097</v>
      </c>
      <c r="C81" s="164">
        <v>37.41</v>
      </c>
    </row>
    <row r="82" spans="1:3" ht="14.25">
      <c r="A82" s="121" t="s">
        <v>763</v>
      </c>
      <c r="B82" s="170">
        <f>'83'!I8+'96'!I4+'111'!I7</f>
        <v>25.27146664423617</v>
      </c>
      <c r="C82" s="164" t="s">
        <v>938</v>
      </c>
    </row>
    <row r="83" spans="1:3" ht="14.25">
      <c r="A83" s="121" t="s">
        <v>38</v>
      </c>
      <c r="B83" s="170">
        <f>'39'!G7+'45'!G11+'77'!I9</f>
        <v>1.7821592967039805</v>
      </c>
      <c r="C83" s="164" t="s">
        <v>724</v>
      </c>
    </row>
    <row r="84" spans="1:3" ht="14.25">
      <c r="A84" s="189" t="s">
        <v>480</v>
      </c>
      <c r="B84" s="170">
        <f>'49'!G10</f>
        <v>0.14422860052172837</v>
      </c>
      <c r="C84" s="164">
        <v>49</v>
      </c>
    </row>
    <row r="85" spans="1:3" ht="14.25">
      <c r="A85" s="186" t="s">
        <v>986</v>
      </c>
      <c r="B85" s="170">
        <f>'117'!I7+'141'!I9</f>
        <v>-0.4990266922181945</v>
      </c>
      <c r="C85" s="164" t="s">
        <v>1185</v>
      </c>
    </row>
    <row r="86" spans="1:3" ht="14.25">
      <c r="A86" s="184" t="s">
        <v>39</v>
      </c>
      <c r="B86" s="170">
        <f>'27'!G8</f>
        <v>3.157100286533023</v>
      </c>
      <c r="C86" s="164">
        <v>27</v>
      </c>
    </row>
    <row r="87" spans="1:3" ht="14.25">
      <c r="A87" s="189" t="s">
        <v>510</v>
      </c>
      <c r="B87" s="170">
        <f>'52'!H7+'78'!I10</f>
        <v>-0.14170503157475878</v>
      </c>
      <c r="C87" s="164" t="s">
        <v>728</v>
      </c>
    </row>
    <row r="88" spans="1:3" ht="14.25">
      <c r="A88" s="121" t="s">
        <v>667</v>
      </c>
      <c r="B88" s="170">
        <f>'70'!I7</f>
        <v>-0.38662327909878513</v>
      </c>
      <c r="C88" s="164">
        <v>70</v>
      </c>
    </row>
    <row r="89" spans="1:3" ht="14.25">
      <c r="A89" s="186" t="s">
        <v>1040</v>
      </c>
      <c r="B89" s="170">
        <f>'124'!I8</f>
        <v>-0.6987982583454482</v>
      </c>
      <c r="C89" s="164">
        <v>124</v>
      </c>
    </row>
    <row r="90" spans="1:3" ht="14.25">
      <c r="A90" s="186" t="s">
        <v>703</v>
      </c>
      <c r="B90" s="170">
        <f>'74'!I5+'96'!I8+'131'!I18+'151'!I5</f>
        <v>0.3606550893999838</v>
      </c>
      <c r="C90" s="164" t="s">
        <v>1280</v>
      </c>
    </row>
    <row r="91" spans="1:3" ht="14.25">
      <c r="A91" s="189" t="s">
        <v>631</v>
      </c>
      <c r="B91" s="170">
        <f>'66'!I12+'116'!I10</f>
        <v>-0.2656597453579934</v>
      </c>
      <c r="C91" s="164" t="s">
        <v>975</v>
      </c>
    </row>
    <row r="92" spans="1:3" ht="14.25">
      <c r="A92" s="186" t="s">
        <v>1211</v>
      </c>
      <c r="B92" s="170">
        <f>'145'!I4</f>
        <v>25.704142181400698</v>
      </c>
      <c r="C92" s="164">
        <v>145</v>
      </c>
    </row>
    <row r="93" spans="1:3" ht="14.25">
      <c r="A93" s="186" t="s">
        <v>550</v>
      </c>
      <c r="B93" s="170">
        <f>'57'!I8+'129'!I9</f>
        <v>12.025869828875102</v>
      </c>
      <c r="C93" s="164" t="s">
        <v>1086</v>
      </c>
    </row>
    <row r="94" spans="1:3" ht="14.25">
      <c r="A94" s="186" t="s">
        <v>1202</v>
      </c>
      <c r="B94" s="170">
        <f>'144'!I8+'147'!I4</f>
        <v>5.246206563329679</v>
      </c>
      <c r="C94" s="164" t="s">
        <v>1231</v>
      </c>
    </row>
    <row r="95" spans="1:3" ht="14.25">
      <c r="A95" s="121" t="s">
        <v>584</v>
      </c>
      <c r="B95" s="170">
        <f>'61'!I7+'63'!I8+'80'!I12+'101'!I11</f>
        <v>3.2070363184453754</v>
      </c>
      <c r="C95" s="164" t="s">
        <v>885</v>
      </c>
    </row>
    <row r="96" spans="1:3" ht="14.25">
      <c r="A96" s="121" t="s">
        <v>40</v>
      </c>
      <c r="B96" s="170">
        <f>'19'!I13</f>
        <v>-0.3500427184465025</v>
      </c>
      <c r="C96" s="164">
        <v>19</v>
      </c>
    </row>
    <row r="97" spans="1:3" ht="14.25">
      <c r="A97" s="121" t="s">
        <v>41</v>
      </c>
      <c r="B97" s="170">
        <f>'15'!I11+'31'!G6+'51'!H13+'60'!I24+'68'!I5+'81'!I7</f>
        <v>13.383318268918856</v>
      </c>
      <c r="C97" s="164" t="s">
        <v>748</v>
      </c>
    </row>
    <row r="98" spans="1:3" ht="14.25">
      <c r="A98" s="224" t="s">
        <v>788</v>
      </c>
      <c r="B98" s="170">
        <f>'87'!I9+'148'!I8</f>
        <v>-0.055322832947240386</v>
      </c>
      <c r="C98" s="164" t="s">
        <v>1248</v>
      </c>
    </row>
    <row r="99" spans="1:3" ht="14.25">
      <c r="A99" s="192" t="s">
        <v>1205</v>
      </c>
      <c r="B99" s="172">
        <f>'144'!I15</f>
        <v>-0.05457800808540014</v>
      </c>
      <c r="C99" s="165">
        <v>144</v>
      </c>
    </row>
    <row r="100" spans="1:3" ht="14.25">
      <c r="A100" s="121" t="s">
        <v>888</v>
      </c>
      <c r="B100" s="172">
        <f>'102'!I4</f>
        <v>-2.8520782370153483</v>
      </c>
      <c r="C100" s="165">
        <v>102</v>
      </c>
    </row>
    <row r="101" spans="1:3" ht="14.25">
      <c r="A101" s="186" t="s">
        <v>1115</v>
      </c>
      <c r="B101" s="172">
        <f>'133'!I7+'137'!I15</f>
        <v>66.46523619304367</v>
      </c>
      <c r="C101" s="165" t="s">
        <v>1155</v>
      </c>
    </row>
    <row r="102" spans="1:3" ht="14.25">
      <c r="A102" s="121" t="s">
        <v>853</v>
      </c>
      <c r="B102" s="172">
        <f>'96'!I14</f>
        <v>0.3920759340659288</v>
      </c>
      <c r="C102" s="165">
        <v>96</v>
      </c>
    </row>
    <row r="103" spans="1:3" ht="14.25">
      <c r="A103" s="185" t="s">
        <v>917</v>
      </c>
      <c r="B103" s="170">
        <f>'107'!I9</f>
        <v>3.9928833915211044</v>
      </c>
      <c r="C103" s="164">
        <v>107</v>
      </c>
    </row>
    <row r="104" spans="1:3" ht="14.25">
      <c r="A104" s="189" t="s">
        <v>429</v>
      </c>
      <c r="B104" s="170">
        <f>'43'!G17+'44'!G10</f>
        <v>-0.34656613170989203</v>
      </c>
      <c r="C104" s="164" t="s">
        <v>444</v>
      </c>
    </row>
    <row r="105" spans="1:3" ht="14.25">
      <c r="A105" s="187" t="s">
        <v>1052</v>
      </c>
      <c r="B105" s="170">
        <f>'125'!I11</f>
        <v>-0.15996929307812024</v>
      </c>
      <c r="C105" s="164">
        <v>125</v>
      </c>
    </row>
    <row r="106" spans="1:3" ht="14.25">
      <c r="A106" s="186" t="s">
        <v>1035</v>
      </c>
      <c r="B106" s="170">
        <f>'123'!I12</f>
        <v>0.8640053150057838</v>
      </c>
      <c r="C106" s="164">
        <v>123</v>
      </c>
    </row>
    <row r="107" spans="1:3" ht="14.25">
      <c r="A107" s="186" t="s">
        <v>849</v>
      </c>
      <c r="B107" s="170">
        <f>'95'!I11</f>
        <v>0.1707368053994287</v>
      </c>
      <c r="C107" s="164">
        <v>95</v>
      </c>
    </row>
    <row r="108" spans="1:3" ht="14.25">
      <c r="A108" s="186" t="s">
        <v>1168</v>
      </c>
      <c r="B108" s="170">
        <f>'139'!I13+'140'!I4+'153'!I15</f>
        <v>-4.475024859663563</v>
      </c>
      <c r="C108" s="164" t="s">
        <v>1298</v>
      </c>
    </row>
    <row r="109" spans="1:3" ht="14.25">
      <c r="A109" s="186" t="s">
        <v>965</v>
      </c>
      <c r="B109" s="170">
        <f>'115'!I9</f>
        <v>0.28831564306130986</v>
      </c>
      <c r="C109" s="164">
        <v>115</v>
      </c>
    </row>
    <row r="110" spans="1:3" ht="14.25">
      <c r="A110" s="186" t="s">
        <v>1133</v>
      </c>
      <c r="B110" s="170">
        <f>'135'!I14</f>
        <v>-11.874513170731689</v>
      </c>
      <c r="C110" s="164">
        <v>135</v>
      </c>
    </row>
    <row r="111" spans="1:3" ht="14.25">
      <c r="A111" s="186" t="s">
        <v>517</v>
      </c>
      <c r="B111" s="170">
        <f>'52'!H8+'69'!I10+'78'!I5+'79'!I4+'143'!I10</f>
        <v>-22.979458352952292</v>
      </c>
      <c r="C111" s="164" t="s">
        <v>1198</v>
      </c>
    </row>
    <row r="112" spans="1:3" ht="14.25">
      <c r="A112" s="200" t="s">
        <v>668</v>
      </c>
      <c r="B112" s="170">
        <f>'70'!I9</f>
        <v>-0.48980403003770334</v>
      </c>
      <c r="C112" s="164">
        <v>70</v>
      </c>
    </row>
    <row r="113" spans="1:3" ht="14.25">
      <c r="A113" s="190" t="s">
        <v>454</v>
      </c>
      <c r="B113" s="170">
        <f>'46'!G7</f>
        <v>63.400171252566906</v>
      </c>
      <c r="C113" s="164">
        <v>46</v>
      </c>
    </row>
    <row r="114" spans="1:3" ht="14.25">
      <c r="A114" s="190" t="s">
        <v>644</v>
      </c>
      <c r="B114" s="173">
        <f>'67'!I6</f>
        <v>9.443398264462758</v>
      </c>
      <c r="C114" s="167">
        <v>67</v>
      </c>
    </row>
    <row r="115" spans="1:3" ht="14.25">
      <c r="A115" s="121" t="s">
        <v>466</v>
      </c>
      <c r="B115" s="170">
        <f>'47'!G15</f>
        <v>-0.20735142774333326</v>
      </c>
      <c r="C115" s="164">
        <v>47</v>
      </c>
    </row>
    <row r="116" spans="1:3" ht="14.25">
      <c r="A116" s="184" t="s">
        <v>42</v>
      </c>
      <c r="B116" s="170">
        <f>2!I12+3!I10+'10'!I7+'11'!I13+'13'!I8</f>
        <v>-0.0363352721572312</v>
      </c>
      <c r="C116" s="164" t="s">
        <v>43</v>
      </c>
    </row>
    <row r="117" spans="1:3" ht="14.25">
      <c r="A117" s="184" t="s">
        <v>44</v>
      </c>
      <c r="B117" s="170">
        <f>'33'!G7+'97'!I8</f>
        <v>9.457844875869455</v>
      </c>
      <c r="C117" s="164" t="s">
        <v>862</v>
      </c>
    </row>
    <row r="118" spans="1:3" ht="14.25">
      <c r="A118" s="184" t="s">
        <v>596</v>
      </c>
      <c r="B118" s="170">
        <f>'62'!I5+'66'!I20+'88'!I9+'113'!I14</f>
        <v>-4.31516247464873</v>
      </c>
      <c r="C118" s="164" t="s">
        <v>950</v>
      </c>
    </row>
    <row r="119" spans="1:3" ht="14.25">
      <c r="A119" s="184" t="s">
        <v>414</v>
      </c>
      <c r="B119" s="170">
        <f>'41'!G8+'45'!G6+'47'!G13+'50'!H4+'58'!I6+'63'!I13</f>
        <v>-0.17456852775217158</v>
      </c>
      <c r="C119" s="164" t="s">
        <v>612</v>
      </c>
    </row>
    <row r="120" spans="1:3" ht="14.25">
      <c r="A120" s="186" t="s">
        <v>1042</v>
      </c>
      <c r="B120" s="173">
        <f>'124'!I14+'125'!I4+'131'!I15</f>
        <v>1.2636881288168524</v>
      </c>
      <c r="C120" s="167" t="s">
        <v>1102</v>
      </c>
    </row>
    <row r="121" spans="1:3" ht="14.25">
      <c r="A121" s="186" t="s">
        <v>1273</v>
      </c>
      <c r="B121" s="173">
        <f>'151'!I12</f>
        <v>0.37257421100912325</v>
      </c>
      <c r="C121" s="167">
        <v>151</v>
      </c>
    </row>
    <row r="122" spans="1:3" ht="14.25">
      <c r="A122" s="187" t="s">
        <v>45</v>
      </c>
      <c r="B122" s="170">
        <f>'36'!G14+'51'!H6+'98'!I8</f>
        <v>31.021435481563685</v>
      </c>
      <c r="C122" s="164" t="s">
        <v>870</v>
      </c>
    </row>
    <row r="123" spans="1:3" ht="14.25">
      <c r="A123" s="121" t="s">
        <v>431</v>
      </c>
      <c r="B123" s="170">
        <f>'43'!G9+'62'!I7</f>
        <v>0.683480336778473</v>
      </c>
      <c r="C123" s="164" t="s">
        <v>604</v>
      </c>
    </row>
    <row r="124" spans="1:3" ht="14.25">
      <c r="A124" s="188" t="s">
        <v>1005</v>
      </c>
      <c r="B124" s="170">
        <f>'119'!I14</f>
        <v>6.016572923776948</v>
      </c>
      <c r="C124" s="164">
        <v>119</v>
      </c>
    </row>
    <row r="125" spans="1:3" ht="14.25">
      <c r="A125" s="184" t="s">
        <v>46</v>
      </c>
      <c r="B125" s="170">
        <f>'11'!I10</f>
        <v>-2.452766387141878</v>
      </c>
      <c r="C125" s="164">
        <v>11</v>
      </c>
    </row>
    <row r="126" spans="1:3" ht="14.25">
      <c r="A126" s="186" t="s">
        <v>1002</v>
      </c>
      <c r="B126" s="170">
        <f>'119'!I7+'138'!I8</f>
        <v>-8.873605512968425</v>
      </c>
      <c r="C126" s="164" t="s">
        <v>1158</v>
      </c>
    </row>
    <row r="127" spans="1:3" ht="14.25">
      <c r="A127" s="121" t="s">
        <v>47</v>
      </c>
      <c r="B127" s="170">
        <f>'32'!G6</f>
        <v>10.494947741433066</v>
      </c>
      <c r="C127" s="164">
        <v>32</v>
      </c>
    </row>
    <row r="128" spans="1:3" ht="14.25">
      <c r="A128" s="121" t="s">
        <v>874</v>
      </c>
      <c r="B128" s="170">
        <f>'99'!I9+'107'!I11</f>
        <v>-8.153619500830928</v>
      </c>
      <c r="C128" s="164" t="s">
        <v>921</v>
      </c>
    </row>
    <row r="129" spans="1:3" ht="14.25">
      <c r="A129" s="121" t="s">
        <v>538</v>
      </c>
      <c r="B129" s="170">
        <f>'55'!I7</f>
        <v>-0.09191984476069592</v>
      </c>
      <c r="C129" s="164">
        <v>55</v>
      </c>
    </row>
    <row r="130" spans="1:3" ht="14.25">
      <c r="A130" s="121" t="s">
        <v>48</v>
      </c>
      <c r="B130" s="170">
        <f>'10'!I4+'23'!G11+'24'!G4+'29(1)'!G6+'66'!I14</f>
        <v>-0.2774529748785426</v>
      </c>
      <c r="C130" s="164" t="s">
        <v>639</v>
      </c>
    </row>
    <row r="131" spans="1:3" ht="14.25">
      <c r="A131" s="207" t="s">
        <v>704</v>
      </c>
      <c r="B131" s="170">
        <f>'74'!I6+'86'!I8</f>
        <v>8.03431876490231</v>
      </c>
      <c r="C131" s="164" t="s">
        <v>784</v>
      </c>
    </row>
    <row r="132" spans="1:3" ht="14.25">
      <c r="A132" s="223" t="s">
        <v>576</v>
      </c>
      <c r="B132" s="170">
        <f>'60'!I8+'78'!I7+'117'!I13</f>
        <v>-0.2746734450518602</v>
      </c>
      <c r="C132" s="164" t="s">
        <v>989</v>
      </c>
    </row>
    <row r="133" spans="1:3" ht="14.25">
      <c r="A133" s="192" t="s">
        <v>919</v>
      </c>
      <c r="B133" s="172">
        <f>'107'!I10+'153'!I8</f>
        <v>-2.015316417232384</v>
      </c>
      <c r="C133" s="165" t="s">
        <v>1299</v>
      </c>
    </row>
    <row r="134" spans="1:3" ht="14.25">
      <c r="A134" s="201" t="s">
        <v>1241</v>
      </c>
      <c r="B134" s="172">
        <f>'148'!I16</f>
        <v>3.880619273132652</v>
      </c>
      <c r="C134" s="165">
        <v>148</v>
      </c>
    </row>
    <row r="135" spans="1:3" ht="14.25">
      <c r="A135" s="191" t="s">
        <v>904</v>
      </c>
      <c r="B135" s="172">
        <f>'105'!I5</f>
        <v>-0.22081386992431362</v>
      </c>
      <c r="C135" s="165">
        <v>105</v>
      </c>
    </row>
    <row r="136" spans="1:3" ht="14.25">
      <c r="A136" s="191" t="s">
        <v>420</v>
      </c>
      <c r="B136" s="172">
        <f>'42'!G5</f>
        <v>0.33312753340337053</v>
      </c>
      <c r="C136" s="165">
        <v>42</v>
      </c>
    </row>
    <row r="137" spans="1:3" ht="28.5">
      <c r="A137" s="121" t="s">
        <v>49</v>
      </c>
      <c r="B137" s="170">
        <f>2!I5+4!I5+'10'!I9+'12'!I5+'14'!I13+'16(1)'!I5+'21'!G5+'24'!G15+'25'!G5+'28'!G5+'30'!G10+'97'!I6+'98'!I4+'103'!I7+'114'!I4</f>
        <v>-0.12852620463894482</v>
      </c>
      <c r="C137" s="164" t="s">
        <v>958</v>
      </c>
    </row>
    <row r="138" spans="1:3" ht="28.5">
      <c r="A138" s="186" t="s">
        <v>50</v>
      </c>
      <c r="B138" s="170">
        <f>2!I13+3!I6+'12'!I11+'16(2)'!I16+'20'!I11+'23'!G10+'25'!G9+'32'!G14+'35'!G6+'99'!I4+'106'!I5+'128'!I5</f>
        <v>35.12613714876795</v>
      </c>
      <c r="C138" s="164" t="s">
        <v>1078</v>
      </c>
    </row>
    <row r="139" spans="1:3" ht="14.25">
      <c r="A139" s="121" t="s">
        <v>51</v>
      </c>
      <c r="B139" s="170">
        <f>5!I8+8!I5+9!I13+'12'!I10+'15'!I5+'68'!I9</f>
        <v>1.3691730867433876</v>
      </c>
      <c r="C139" s="164" t="s">
        <v>654</v>
      </c>
    </row>
    <row r="140" spans="1:3" ht="28.5">
      <c r="A140" s="186" t="s">
        <v>384</v>
      </c>
      <c r="B140" s="170">
        <f>'55'!I13+'59'!I7+'79'!I7+'82'!I10+'91'!I4+'95'!I4+'116'!I14+'117'!I4+'132'!I9</f>
        <v>0.06773470564331774</v>
      </c>
      <c r="C140" s="164" t="s">
        <v>1108</v>
      </c>
    </row>
    <row r="141" spans="1:3" ht="14.25">
      <c r="A141" s="186" t="s">
        <v>52</v>
      </c>
      <c r="B141" s="170">
        <f>'33'!G16</f>
        <v>4.363128824681439</v>
      </c>
      <c r="C141" s="164">
        <v>33</v>
      </c>
    </row>
    <row r="142" spans="1:3" ht="43.5">
      <c r="A142" s="201" t="s">
        <v>254</v>
      </c>
      <c r="B142" s="170">
        <f>8!I9+'16(1)'!I11+'19'!I5+'20'!I6+'21'!G10+'22'!G9+'23'!G12+'24'!G13+'28'!G12+'46'!G9+'96'!I11+'115'!I17+'119'!I20+'131'!I4+'135'!I16+'139'!I10+'141'!I5+'145'!I12+'150'!I8</f>
        <v>-9.738533941961691</v>
      </c>
      <c r="C142" s="164" t="s">
        <v>1260</v>
      </c>
    </row>
    <row r="143" spans="1:3" ht="14.25">
      <c r="A143" s="186" t="s">
        <v>528</v>
      </c>
      <c r="B143" s="170">
        <f>'54'!I11</f>
        <v>-0.20883596180078712</v>
      </c>
      <c r="C143" s="164">
        <v>54</v>
      </c>
    </row>
    <row r="144" spans="1:3" ht="14.25">
      <c r="A144" s="217" t="s">
        <v>565</v>
      </c>
      <c r="B144" s="170">
        <f>'59'!I9+'60'!I23+'79'!I5+'81'!I6+'106'!I6+'154'!I13</f>
        <v>-9.31801646074507</v>
      </c>
      <c r="C144" s="164" t="s">
        <v>1318</v>
      </c>
    </row>
    <row r="145" spans="1:3" ht="14.25">
      <c r="A145" s="196" t="s">
        <v>54</v>
      </c>
      <c r="B145" s="173">
        <f>'29(1)'!G11</f>
        <v>-0.1071081794194697</v>
      </c>
      <c r="C145" s="167" t="s">
        <v>13</v>
      </c>
    </row>
    <row r="146" spans="1:3" ht="14.25">
      <c r="A146" s="121" t="s">
        <v>477</v>
      </c>
      <c r="B146" s="170">
        <f>'49'!G4</f>
        <v>0.06415834022777744</v>
      </c>
      <c r="C146" s="164">
        <v>49</v>
      </c>
    </row>
    <row r="147" spans="1:3" ht="14.25">
      <c r="A147" s="186" t="s">
        <v>1023</v>
      </c>
      <c r="B147" s="170">
        <f>'122'!I8+'124'!I15</f>
        <v>19.397447133608182</v>
      </c>
      <c r="C147" s="164" t="s">
        <v>1044</v>
      </c>
    </row>
    <row r="148" spans="1:3" ht="14.25">
      <c r="A148" s="121" t="s">
        <v>875</v>
      </c>
      <c r="B148" s="170">
        <f>'99'!I10</f>
        <v>-0.10462661478595692</v>
      </c>
      <c r="C148" s="164">
        <v>99</v>
      </c>
    </row>
    <row r="149" spans="1:3" ht="14.25">
      <c r="A149" s="121" t="s">
        <v>634</v>
      </c>
      <c r="B149" s="170">
        <f>'66'!I17</f>
        <v>-0.2568770093458852</v>
      </c>
      <c r="C149" s="164">
        <v>66</v>
      </c>
    </row>
    <row r="150" spans="1:3" ht="14.25">
      <c r="A150" s="121" t="s">
        <v>463</v>
      </c>
      <c r="B150" s="170">
        <f>'47'!G4</f>
        <v>-0.21048304102055226</v>
      </c>
      <c r="C150" s="164">
        <v>47</v>
      </c>
    </row>
    <row r="151" spans="1:3" ht="14.25">
      <c r="A151" s="121" t="s">
        <v>611</v>
      </c>
      <c r="B151" s="170">
        <f>'63'!I7+'112'!I9</f>
        <v>4.817457679327845</v>
      </c>
      <c r="C151" s="164" t="s">
        <v>942</v>
      </c>
    </row>
    <row r="152" spans="1:3" ht="14.25">
      <c r="A152" s="121" t="s">
        <v>618</v>
      </c>
      <c r="B152" s="170">
        <f>'64'!I12</f>
        <v>-7.637241291905184</v>
      </c>
      <c r="C152" s="164">
        <v>64</v>
      </c>
    </row>
    <row r="153" spans="1:3" ht="14.25">
      <c r="A153" s="121" t="s">
        <v>55</v>
      </c>
      <c r="B153" s="170">
        <f>'31'!G7+'34'!G10+'40'!G12</f>
        <v>-0.048372144602794265</v>
      </c>
      <c r="C153" s="164" t="s">
        <v>410</v>
      </c>
    </row>
    <row r="154" spans="1:3" ht="14.25">
      <c r="A154" s="186" t="s">
        <v>1204</v>
      </c>
      <c r="B154" s="170">
        <f>'144'!I14</f>
        <v>0.10165545020186073</v>
      </c>
      <c r="C154" s="164">
        <v>144</v>
      </c>
    </row>
    <row r="155" spans="1:3" ht="14.25">
      <c r="A155" s="121" t="s">
        <v>834</v>
      </c>
      <c r="B155" s="170">
        <f>'93'!I6</f>
        <v>863.4649194798009</v>
      </c>
      <c r="C155" s="164">
        <v>93</v>
      </c>
    </row>
    <row r="156" spans="1:3" ht="14.25">
      <c r="A156" s="187" t="s">
        <v>56</v>
      </c>
      <c r="B156" s="173">
        <f>7!I7+'16(2)'!I15</f>
        <v>-6.5199731532047736</v>
      </c>
      <c r="C156" s="167" t="s">
        <v>57</v>
      </c>
    </row>
    <row r="157" spans="1:3" ht="14.25">
      <c r="A157" s="187" t="s">
        <v>1129</v>
      </c>
      <c r="B157" s="169">
        <f>'135'!I4</f>
        <v>2.660726164079847</v>
      </c>
      <c r="C157" s="163">
        <v>135</v>
      </c>
    </row>
    <row r="158" spans="1:3" ht="14.25">
      <c r="A158" s="187" t="s">
        <v>859</v>
      </c>
      <c r="B158" s="172">
        <f>'97'!I12+'105'!I9+'110'!I4+'113'!I4+'116'!I6</f>
        <v>29.995872033314754</v>
      </c>
      <c r="C158" s="165" t="s">
        <v>974</v>
      </c>
    </row>
    <row r="159" spans="1:3" ht="14.25">
      <c r="A159" s="187" t="s">
        <v>633</v>
      </c>
      <c r="B159" s="170">
        <f>'66'!I16</f>
        <v>-0.42048205607488853</v>
      </c>
      <c r="C159" s="164">
        <v>66</v>
      </c>
    </row>
    <row r="160" spans="1:3" ht="14.25">
      <c r="A160" s="121" t="s">
        <v>58</v>
      </c>
      <c r="B160" s="170">
        <f>'25'!G4</f>
        <v>3.2010207252521923</v>
      </c>
      <c r="C160" s="164">
        <v>25</v>
      </c>
    </row>
    <row r="161" spans="1:3" ht="14.25">
      <c r="A161" s="121" t="s">
        <v>552</v>
      </c>
      <c r="B161" s="170">
        <f>'57'!I11</f>
        <v>2.671039870800996</v>
      </c>
      <c r="C161" s="164">
        <v>57</v>
      </c>
    </row>
    <row r="162" spans="1:3" ht="14.25">
      <c r="A162" s="188" t="s">
        <v>59</v>
      </c>
      <c r="B162" s="173">
        <f>'37'!G11</f>
        <v>-0.45558693767452496</v>
      </c>
      <c r="C162" s="167">
        <v>37</v>
      </c>
    </row>
    <row r="163" spans="1:3" ht="14.25">
      <c r="A163" s="212" t="s">
        <v>1124</v>
      </c>
      <c r="B163" s="173">
        <f>'15'!I13+'134'!I13</f>
        <v>2.0859917532504824</v>
      </c>
      <c r="C163" s="167" t="s">
        <v>1127</v>
      </c>
    </row>
    <row r="164" spans="1:3" ht="14.25">
      <c r="A164" s="212" t="s">
        <v>967</v>
      </c>
      <c r="B164" s="169">
        <f>'115'!I16</f>
        <v>12.664213023182128</v>
      </c>
      <c r="C164" s="163">
        <v>115</v>
      </c>
    </row>
    <row r="165" spans="1:3" ht="14.25">
      <c r="A165" s="188" t="s">
        <v>60</v>
      </c>
      <c r="B165" s="169">
        <f>'12'!I6</f>
        <v>0.6413665167095246</v>
      </c>
      <c r="C165" s="163">
        <v>12</v>
      </c>
    </row>
    <row r="166" spans="1:3" ht="57.75">
      <c r="A166" s="215" t="s">
        <v>61</v>
      </c>
      <c r="B166" s="169">
        <f>4!I6+6!I4+8!I7+'10'!I6+'11'!I5+'12'!I4+'13'!I13+'14'!I4+'15'!I4+'16(1)'!I7+'17'!I12+'18'!I9+'20'!I10+'21'!G4+'22'!G5+'26'!G9+'29(1)'!G5+'31'!G15+'32'!G4+'38'!G7+'39'!G6+'40'!G18+'55'!I10+'99'!I7+'128'!I6+'154'!I10</f>
        <v>-19.62741549193464</v>
      </c>
      <c r="C166" s="163" t="s">
        <v>1317</v>
      </c>
    </row>
    <row r="167" spans="1:3" ht="14.25">
      <c r="A167" s="191" t="s">
        <v>623</v>
      </c>
      <c r="B167" s="172">
        <f>'65'!I7</f>
        <v>-0.10071214285710539</v>
      </c>
      <c r="C167" s="165">
        <v>65</v>
      </c>
    </row>
    <row r="168" spans="1:3" ht="14.25">
      <c r="A168" s="184" t="s">
        <v>62</v>
      </c>
      <c r="B168" s="172">
        <f>5!I10+'24'!G8+'43'!G14</f>
        <v>0.31993872603135287</v>
      </c>
      <c r="C168" s="165" t="s">
        <v>439</v>
      </c>
    </row>
    <row r="169" spans="1:3" ht="14.25">
      <c r="A169" s="186" t="s">
        <v>739</v>
      </c>
      <c r="B169" s="170">
        <f>'80'!I17+'93'!I9+'98'!I12+'106'!I15+'119'!I16+'131'!I19+'144'!I17</f>
        <v>0.39240920486849973</v>
      </c>
      <c r="C169" s="164" t="s">
        <v>1208</v>
      </c>
    </row>
    <row r="170" spans="1:3" ht="14.25">
      <c r="A170" s="186" t="s">
        <v>869</v>
      </c>
      <c r="B170" s="170">
        <f>'98'!I11</f>
        <v>7.753732720989547</v>
      </c>
      <c r="C170" s="164">
        <v>98</v>
      </c>
    </row>
    <row r="171" spans="1:3" ht="14.25">
      <c r="A171" s="186" t="s">
        <v>1149</v>
      </c>
      <c r="B171" s="170">
        <f>'137'!I10</f>
        <v>3.3597122453804786</v>
      </c>
      <c r="C171" s="164">
        <v>137</v>
      </c>
    </row>
    <row r="172" spans="1:3" ht="14.25">
      <c r="A172" s="186" t="s">
        <v>933</v>
      </c>
      <c r="B172" s="170">
        <f>'110'!I6+'147'!I13</f>
        <v>-0.03754076137897755</v>
      </c>
      <c r="C172" s="164" t="s">
        <v>1232</v>
      </c>
    </row>
    <row r="173" spans="1:3" ht="14.25">
      <c r="A173" s="121" t="s">
        <v>629</v>
      </c>
      <c r="B173" s="170">
        <f>'66'!I10</f>
        <v>-0.4980801869158995</v>
      </c>
      <c r="C173" s="164">
        <v>66</v>
      </c>
    </row>
    <row r="174" spans="1:3" ht="14.25">
      <c r="A174" s="121" t="s">
        <v>63</v>
      </c>
      <c r="B174" s="170">
        <f>'20'!I16+'33'!G11+'42'!G7+'44'!G15+'45'!G10+'114'!I7</f>
        <v>-0.25291969207091825</v>
      </c>
      <c r="C174" s="164" t="s">
        <v>960</v>
      </c>
    </row>
    <row r="175" spans="1:3" ht="14.25">
      <c r="A175" s="187" t="s">
        <v>1055</v>
      </c>
      <c r="B175" s="170">
        <f>'125'!I14</f>
        <v>-0.2785210162004432</v>
      </c>
      <c r="C175" s="164">
        <v>125</v>
      </c>
    </row>
    <row r="176" spans="1:3" ht="14.25">
      <c r="A176" s="185" t="s">
        <v>406</v>
      </c>
      <c r="B176" s="170">
        <f>'40'!G5+'127'!I10+'143'!I9</f>
        <v>-32.14562424784776</v>
      </c>
      <c r="C176" s="164" t="s">
        <v>1197</v>
      </c>
    </row>
    <row r="177" spans="1:3" ht="14.25">
      <c r="A177" s="185" t="s">
        <v>1104</v>
      </c>
      <c r="B177" s="170">
        <f>'132'!I4</f>
        <v>-2.7202043085881655</v>
      </c>
      <c r="C177" s="164">
        <v>132</v>
      </c>
    </row>
    <row r="178" spans="1:3" ht="14.25">
      <c r="A178" s="185" t="s">
        <v>890</v>
      </c>
      <c r="B178" s="170">
        <f>'102'!I8</f>
        <v>-0.4105017922454408</v>
      </c>
      <c r="C178" s="164">
        <v>102</v>
      </c>
    </row>
    <row r="179" spans="1:3" ht="14.25">
      <c r="A179" s="210" t="s">
        <v>1026</v>
      </c>
      <c r="B179" s="170">
        <f>'122'!I12+'123'!I9+'125'!I19+'135'!I5+'153'!I9</f>
        <v>0.12959375451907817</v>
      </c>
      <c r="C179" s="164" t="s">
        <v>1300</v>
      </c>
    </row>
    <row r="180" spans="1:3" ht="14.25">
      <c r="A180" s="186" t="s">
        <v>520</v>
      </c>
      <c r="B180" s="170">
        <f>'53'!H6</f>
        <v>0.23192791776432387</v>
      </c>
      <c r="C180" s="164">
        <v>53</v>
      </c>
    </row>
    <row r="181" spans="1:3" ht="14.25">
      <c r="A181" s="186" t="s">
        <v>64</v>
      </c>
      <c r="B181" s="170">
        <f>'15'!I10+'18'!I4</f>
        <v>1.9258538422906213</v>
      </c>
      <c r="C181" s="164" t="s">
        <v>65</v>
      </c>
    </row>
    <row r="182" spans="1:3" ht="14.25">
      <c r="A182" s="222" t="s">
        <v>66</v>
      </c>
      <c r="B182" s="170">
        <f>'17'!I8+'28'!G7</f>
        <v>0.8226967861533012</v>
      </c>
      <c r="C182" s="164" t="s">
        <v>67</v>
      </c>
    </row>
    <row r="183" spans="1:3" ht="14.25">
      <c r="A183" s="183" t="s">
        <v>1099</v>
      </c>
      <c r="B183" s="174">
        <f>'131'!I13</f>
        <v>1.9801769275363768</v>
      </c>
      <c r="C183" s="164">
        <v>131</v>
      </c>
    </row>
    <row r="184" spans="1:3" ht="14.25">
      <c r="A184" s="206" t="s">
        <v>68</v>
      </c>
      <c r="B184" s="174">
        <f>'29(2)'!G15</f>
        <v>-0.28377128352008185</v>
      </c>
      <c r="C184" s="164" t="s">
        <v>69</v>
      </c>
    </row>
    <row r="185" spans="1:3" ht="14.25">
      <c r="A185" s="206" t="s">
        <v>530</v>
      </c>
      <c r="B185" s="174">
        <f>'54'!I13</f>
        <v>0.4871589631651432</v>
      </c>
      <c r="C185" s="164">
        <v>54</v>
      </c>
    </row>
    <row r="186" spans="1:3" ht="14.25">
      <c r="A186" s="190" t="s">
        <v>70</v>
      </c>
      <c r="B186" s="170">
        <f>'17'!I10+'31'!G12+'33'!G18+'75'!I7</f>
        <v>0.4051732036039084</v>
      </c>
      <c r="C186" s="164" t="s">
        <v>716</v>
      </c>
    </row>
    <row r="187" spans="1:3" ht="14.25">
      <c r="A187" s="190" t="s">
        <v>940</v>
      </c>
      <c r="B187" s="170">
        <f>'112'!I6</f>
        <v>0.9596030075190356</v>
      </c>
      <c r="C187" s="164">
        <v>112</v>
      </c>
    </row>
    <row r="188" spans="1:3" ht="14.25">
      <c r="A188" s="190" t="s">
        <v>794</v>
      </c>
      <c r="B188" s="170">
        <f>'88'!I7</f>
        <v>0.42999747572798697</v>
      </c>
      <c r="C188" s="164">
        <v>88</v>
      </c>
    </row>
    <row r="189" spans="1:3" ht="14.25">
      <c r="A189" s="190" t="s">
        <v>855</v>
      </c>
      <c r="B189" s="170">
        <f>'97'!I4</f>
        <v>-0.17951760882192502</v>
      </c>
      <c r="C189" s="164">
        <v>97</v>
      </c>
    </row>
    <row r="190" spans="1:3" ht="14.25">
      <c r="A190" s="190" t="s">
        <v>71</v>
      </c>
      <c r="B190" s="170">
        <f>'30'!G4</f>
        <v>-0.008503497517267533</v>
      </c>
      <c r="C190" s="164">
        <v>30</v>
      </c>
    </row>
    <row r="191" spans="1:3" ht="14.25">
      <c r="A191" s="190" t="s">
        <v>464</v>
      </c>
      <c r="B191" s="170">
        <f>'47'!G8</f>
        <v>-0.49154464415141774</v>
      </c>
      <c r="C191" s="164">
        <v>47</v>
      </c>
    </row>
    <row r="192" spans="1:3" ht="14.25">
      <c r="A192" s="211" t="s">
        <v>1151</v>
      </c>
      <c r="B192" s="170">
        <f>'137'!I12+'139'!I14+'149'!I9</f>
        <v>81.53020572298533</v>
      </c>
      <c r="C192" s="164" t="s">
        <v>1261</v>
      </c>
    </row>
    <row r="193" spans="1:3" ht="14.25">
      <c r="A193" s="213" t="s">
        <v>1006</v>
      </c>
      <c r="B193" s="170">
        <f>'119'!I18</f>
        <v>61.20522875995448</v>
      </c>
      <c r="C193" s="164">
        <v>119</v>
      </c>
    </row>
    <row r="194" spans="1:3" ht="14.25">
      <c r="A194" s="184" t="s">
        <v>72</v>
      </c>
      <c r="B194" s="170">
        <f>'16(1)'!I13</f>
        <v>-0.838772261072279</v>
      </c>
      <c r="C194" s="166" t="s">
        <v>73</v>
      </c>
    </row>
    <row r="195" spans="1:3" ht="14.25">
      <c r="A195" s="184" t="s">
        <v>669</v>
      </c>
      <c r="B195" s="170">
        <f>'70'!I12</f>
        <v>0.28868200250303744</v>
      </c>
      <c r="C195" s="164">
        <v>70</v>
      </c>
    </row>
    <row r="196" spans="1:3" ht="14.25">
      <c r="A196" s="185" t="s">
        <v>737</v>
      </c>
      <c r="B196" s="170">
        <f>'80'!I13</f>
        <v>3.4840596190302904</v>
      </c>
      <c r="C196" s="164">
        <v>80</v>
      </c>
    </row>
    <row r="197" spans="1:3" ht="14.25">
      <c r="A197" s="184" t="s">
        <v>74</v>
      </c>
      <c r="B197" s="170">
        <f>'14'!I19+'124'!I6+'136'!I6</f>
        <v>10.7268607084319</v>
      </c>
      <c r="C197" s="164" t="s">
        <v>1142</v>
      </c>
    </row>
    <row r="198" spans="1:3" ht="14.25">
      <c r="A198" s="184" t="s">
        <v>601</v>
      </c>
      <c r="B198" s="170">
        <f>'62'!I16+'78'!I9+'95'!I12</f>
        <v>85.56637370524845</v>
      </c>
      <c r="C198" s="164" t="s">
        <v>850</v>
      </c>
    </row>
    <row r="199" spans="1:3" ht="14.25">
      <c r="A199" s="185" t="s">
        <v>75</v>
      </c>
      <c r="B199" s="170">
        <f>'10'!I11+'31'!G10+'125'!I5+'126'!I5+'140'!I8</f>
        <v>-7.63137516015837</v>
      </c>
      <c r="C199" s="164" t="s">
        <v>1176</v>
      </c>
    </row>
    <row r="200" spans="1:3" ht="28.5">
      <c r="A200" s="225" t="s">
        <v>880</v>
      </c>
      <c r="B200" s="170">
        <f>'101'!I5+'106'!I12+'109'!I7+'112'!I4+'116'!I5+'132'!I7+'133'!I6+'136'!I13+'153'!I7+'154'!I4</f>
        <v>32.34071796350247</v>
      </c>
      <c r="C200" s="164" t="s">
        <v>1316</v>
      </c>
    </row>
    <row r="201" spans="1:3" ht="14.25">
      <c r="A201" s="184" t="s">
        <v>76</v>
      </c>
      <c r="B201" s="170">
        <f>'13'!I15+'20'!I12+'22'!G12</f>
        <v>2.8479483632311258</v>
      </c>
      <c r="C201" s="164" t="s">
        <v>77</v>
      </c>
    </row>
    <row r="202" spans="1:3" ht="14.25">
      <c r="A202" s="184" t="s">
        <v>494</v>
      </c>
      <c r="B202" s="170">
        <f>'50'!H11+'51'!H10+'53'!H10+'71'!I5</f>
        <v>0.14013661978242453</v>
      </c>
      <c r="C202" s="164" t="s">
        <v>676</v>
      </c>
    </row>
    <row r="203" spans="1:3" ht="14.25">
      <c r="A203" s="185" t="s">
        <v>1063</v>
      </c>
      <c r="B203" s="170">
        <f>'126'!I6+'153'!I12</f>
        <v>-7.057137557957844</v>
      </c>
      <c r="C203" s="164" t="s">
        <v>1301</v>
      </c>
    </row>
    <row r="204" spans="1:3" ht="14.25">
      <c r="A204" s="184" t="s">
        <v>78</v>
      </c>
      <c r="B204" s="170">
        <f>'18'!I14</f>
        <v>-0.4312802534318507</v>
      </c>
      <c r="C204" s="164">
        <v>18</v>
      </c>
    </row>
    <row r="205" spans="1:3" ht="14.25">
      <c r="A205" s="121" t="s">
        <v>647</v>
      </c>
      <c r="B205" s="170">
        <f>'67'!I13+'73'!I5</f>
        <v>0.32078178079495956</v>
      </c>
      <c r="C205" s="164" t="s">
        <v>698</v>
      </c>
    </row>
    <row r="206" spans="1:3" ht="14.25">
      <c r="A206" s="185" t="s">
        <v>1193</v>
      </c>
      <c r="B206" s="170">
        <f>'143'!I15+'144'!I4+'151'!I9</f>
        <v>0.06841536447871022</v>
      </c>
      <c r="C206" s="164" t="s">
        <v>1279</v>
      </c>
    </row>
    <row r="207" spans="1:3" ht="14.25">
      <c r="A207" s="185" t="s">
        <v>1228</v>
      </c>
      <c r="B207" s="170">
        <f>'147'!I18</f>
        <v>7.271805828759625</v>
      </c>
      <c r="C207" s="164">
        <v>147</v>
      </c>
    </row>
    <row r="208" spans="1:3" ht="14.25">
      <c r="A208" s="184" t="s">
        <v>489</v>
      </c>
      <c r="B208" s="170">
        <f>'50'!H6</f>
        <v>-0.24607687331229045</v>
      </c>
      <c r="C208" s="164">
        <v>50</v>
      </c>
    </row>
    <row r="209" spans="1:3" ht="14.25">
      <c r="A209" s="184" t="s">
        <v>79</v>
      </c>
      <c r="B209" s="170">
        <f>'31'!G17+'51'!H8+'70'!I6</f>
        <v>1.828244467162449</v>
      </c>
      <c r="C209" s="164" t="s">
        <v>672</v>
      </c>
    </row>
    <row r="210" spans="1:3" ht="14.25">
      <c r="A210" s="184" t="s">
        <v>80</v>
      </c>
      <c r="B210" s="170">
        <f>'21'!G13</f>
        <v>0.3739248004119986</v>
      </c>
      <c r="C210" s="164">
        <v>21</v>
      </c>
    </row>
    <row r="211" spans="1:3" ht="14.25">
      <c r="A211" s="184" t="s">
        <v>571</v>
      </c>
      <c r="B211" s="170">
        <f>'59'!I15+'60'!I18</f>
        <v>0.3603045019796127</v>
      </c>
      <c r="C211" s="164" t="s">
        <v>583</v>
      </c>
    </row>
    <row r="212" spans="1:3" ht="14.25">
      <c r="A212" s="184" t="s">
        <v>549</v>
      </c>
      <c r="B212" s="170">
        <f>'57'!I6+'60'!I20+'87'!I10</f>
        <v>6.216436883630649</v>
      </c>
      <c r="C212" s="164" t="s">
        <v>791</v>
      </c>
    </row>
    <row r="213" spans="1:3" ht="14.25">
      <c r="A213" s="184" t="s">
        <v>758</v>
      </c>
      <c r="B213" s="170">
        <f>'82'!I5</f>
        <v>7.5758585080147895</v>
      </c>
      <c r="C213" s="164">
        <v>82</v>
      </c>
    </row>
    <row r="214" spans="1:3" ht="14.25">
      <c r="A214" s="184" t="s">
        <v>81</v>
      </c>
      <c r="B214" s="170">
        <f>'10'!I10</f>
        <v>1.4810559172731246</v>
      </c>
      <c r="C214" s="164">
        <v>10</v>
      </c>
    </row>
    <row r="215" spans="1:3" ht="14.25">
      <c r="A215" s="121" t="s">
        <v>427</v>
      </c>
      <c r="B215" s="170">
        <f>'43'!G13</f>
        <v>0.646448962712725</v>
      </c>
      <c r="C215" s="164">
        <v>43</v>
      </c>
    </row>
    <row r="216" spans="1:3" ht="14.25">
      <c r="A216" s="187" t="s">
        <v>82</v>
      </c>
      <c r="B216" s="170">
        <f>7!I8+'10'!I8+'15'!I6+'19'!I16</f>
        <v>0.15245603827096943</v>
      </c>
      <c r="C216" s="164" t="s">
        <v>83</v>
      </c>
    </row>
    <row r="217" spans="1:3" ht="14.25">
      <c r="A217" s="199" t="s">
        <v>662</v>
      </c>
      <c r="B217" s="170">
        <f>'69'!I8+'105'!I4+'125'!I18+'129'!I13+'134'!I12</f>
        <v>79.73376758361508</v>
      </c>
      <c r="C217" s="164" t="s">
        <v>1126</v>
      </c>
    </row>
    <row r="218" spans="1:3" ht="14.25">
      <c r="A218" s="194" t="s">
        <v>84</v>
      </c>
      <c r="B218" s="175">
        <f>'14'!I10+'16(1)'!I6+'17'!I7+'23'!G6</f>
        <v>1.2452742754297788</v>
      </c>
      <c r="C218" s="226" t="s">
        <v>85</v>
      </c>
    </row>
    <row r="219" spans="1:3" ht="14.25">
      <c r="A219" s="194" t="s">
        <v>521</v>
      </c>
      <c r="B219" s="169">
        <f>'53'!H8</f>
        <v>-0.4393068002801783</v>
      </c>
      <c r="C219" s="163">
        <v>53</v>
      </c>
    </row>
    <row r="220" spans="1:3" ht="14.25">
      <c r="A220" s="194" t="s">
        <v>86</v>
      </c>
      <c r="B220" s="169">
        <f>'24'!G11+'61'!I6</f>
        <v>47.80501750630725</v>
      </c>
      <c r="C220" s="208" t="s">
        <v>593</v>
      </c>
    </row>
    <row r="221" spans="1:3" ht="14.25">
      <c r="A221" s="194" t="s">
        <v>665</v>
      </c>
      <c r="B221" s="169">
        <f>'70'!I4</f>
        <v>0.03548966207745252</v>
      </c>
      <c r="C221" s="208">
        <v>70</v>
      </c>
    </row>
    <row r="222" spans="1:3" ht="14.25">
      <c r="A222" s="183" t="s">
        <v>87</v>
      </c>
      <c r="B222" s="169">
        <f>'16(1)'!I4+'29(2)'!G12+'144'!I10</f>
        <v>0.17032478770164516</v>
      </c>
      <c r="C222" s="208" t="s">
        <v>1207</v>
      </c>
    </row>
    <row r="223" spans="1:3" ht="14.25">
      <c r="A223" s="194" t="s">
        <v>446</v>
      </c>
      <c r="B223" s="169">
        <f>'45'!G5</f>
        <v>0.24381455290460963</v>
      </c>
      <c r="C223" s="208">
        <v>45</v>
      </c>
    </row>
    <row r="224" spans="1:3" ht="14.25">
      <c r="A224" s="183" t="s">
        <v>1238</v>
      </c>
      <c r="B224" s="169">
        <f>'148'!I11+'149'!I6+'151'!I7+'152'!I9</f>
        <v>0.5172850877228257</v>
      </c>
      <c r="C224" s="163" t="s">
        <v>1290</v>
      </c>
    </row>
    <row r="225" spans="1:3" ht="14.25">
      <c r="A225" s="183" t="s">
        <v>1077</v>
      </c>
      <c r="B225" s="169">
        <f>'128'!I9+'145'!I5</f>
        <v>10.666881037020488</v>
      </c>
      <c r="C225" s="163" t="s">
        <v>1216</v>
      </c>
    </row>
    <row r="226" spans="1:3" ht="14.25">
      <c r="A226" s="205" t="s">
        <v>1215</v>
      </c>
      <c r="B226" s="169">
        <f>'145'!I13+'151'!I15</f>
        <v>0.14665484123486294</v>
      </c>
      <c r="C226" s="163" t="s">
        <v>1278</v>
      </c>
    </row>
    <row r="227" spans="1:3" ht="14.25">
      <c r="A227" s="183" t="s">
        <v>1257</v>
      </c>
      <c r="B227" s="176">
        <f>'150'!I12</f>
        <v>-5.220129440353503</v>
      </c>
      <c r="C227" s="163">
        <v>150</v>
      </c>
    </row>
    <row r="228" spans="1:3" ht="14.25">
      <c r="A228" s="183" t="s">
        <v>727</v>
      </c>
      <c r="B228" s="169">
        <f>'78'!I13+'80'!I7</f>
        <v>0.6728613535310046</v>
      </c>
      <c r="C228" s="208" t="s">
        <v>740</v>
      </c>
    </row>
    <row r="229" spans="1:3" ht="14.25">
      <c r="A229" s="199" t="s">
        <v>836</v>
      </c>
      <c r="B229" s="169">
        <f>'93'!I4+'104'!I11</f>
        <v>5.500494982125872</v>
      </c>
      <c r="C229" s="208" t="s">
        <v>900</v>
      </c>
    </row>
    <row r="230" spans="1:3" ht="14.25">
      <c r="A230" s="220" t="s">
        <v>781</v>
      </c>
      <c r="B230" s="169">
        <f>'86'!I11</f>
        <v>23.143166666666616</v>
      </c>
      <c r="C230" s="208">
        <v>86</v>
      </c>
    </row>
    <row r="231" spans="1:3" ht="14.25">
      <c r="A231" s="183" t="s">
        <v>1022</v>
      </c>
      <c r="B231" s="169">
        <f>'122'!I6</f>
        <v>-3.981864438202365</v>
      </c>
      <c r="C231" s="163">
        <v>122</v>
      </c>
    </row>
    <row r="232" spans="1:3" ht="14.25">
      <c r="A232" s="195" t="s">
        <v>987</v>
      </c>
      <c r="B232" s="169">
        <f>'117'!I14+'127'!I7</f>
        <v>0.37296174701123164</v>
      </c>
      <c r="C232" s="163" t="s">
        <v>1072</v>
      </c>
    </row>
    <row r="233" spans="1:3" ht="14.25">
      <c r="A233" s="199" t="s">
        <v>1120</v>
      </c>
      <c r="B233" s="169">
        <f>'134'!I6+'136'!I18+'137'!I14+'138'!I11+'147'!I17</f>
        <v>-0.34976952621872215</v>
      </c>
      <c r="C233" s="163" t="s">
        <v>1233</v>
      </c>
    </row>
    <row r="234" spans="1:3" ht="14.25">
      <c r="A234" s="194" t="s">
        <v>88</v>
      </c>
      <c r="B234" s="169">
        <f>2!I10</f>
        <v>-0.3856628318582125</v>
      </c>
      <c r="C234" s="163">
        <v>2</v>
      </c>
    </row>
    <row r="235" spans="1:3" ht="14.25">
      <c r="A235" s="194" t="s">
        <v>417</v>
      </c>
      <c r="B235" s="169">
        <f>'41'!G13</f>
        <v>-0.41171375443309444</v>
      </c>
      <c r="C235" s="163">
        <v>41</v>
      </c>
    </row>
    <row r="236" spans="1:3" ht="14.25">
      <c r="A236" s="194" t="s">
        <v>89</v>
      </c>
      <c r="B236" s="169">
        <f>'26'!G10+'27'!G13+'28'!G10+'29(1)'!G12+'31'!G11</f>
        <v>5.168956044584547</v>
      </c>
      <c r="C236" s="163" t="s">
        <v>90</v>
      </c>
    </row>
    <row r="237" spans="1:3" ht="14.25">
      <c r="A237" s="183" t="s">
        <v>994</v>
      </c>
      <c r="B237" s="169">
        <f>'118'!I8+'134'!I14+'151'!I8</f>
        <v>-0.04351928847097497</v>
      </c>
      <c r="C237" s="163" t="s">
        <v>1277</v>
      </c>
    </row>
    <row r="238" spans="1:3" ht="14.25">
      <c r="A238" s="195" t="s">
        <v>978</v>
      </c>
      <c r="B238" s="169">
        <f>'117'!I8+'119'!I12</f>
        <v>19.66197328791293</v>
      </c>
      <c r="C238" s="163" t="s">
        <v>1010</v>
      </c>
    </row>
    <row r="239" spans="1:3" ht="14.25">
      <c r="A239" s="194" t="s">
        <v>91</v>
      </c>
      <c r="B239" s="169">
        <f>'33'!G6+'34'!G4+'37'!G4+'40'!G6+'47'!G12+'61'!I12+'63'!I6</f>
        <v>0.4658477146278983</v>
      </c>
      <c r="C239" s="163" t="s">
        <v>610</v>
      </c>
    </row>
    <row r="240" spans="1:3" ht="14.25">
      <c r="A240" s="183" t="s">
        <v>525</v>
      </c>
      <c r="B240" s="169">
        <f>'54'!I6+'69'!I12+'71'!I4+'132'!I12</f>
        <v>31.99520745157986</v>
      </c>
      <c r="C240" s="163" t="s">
        <v>1109</v>
      </c>
    </row>
    <row r="241" spans="1:3" ht="14.25">
      <c r="A241" s="195" t="s">
        <v>1051</v>
      </c>
      <c r="B241" s="169">
        <f>'125'!I9</f>
        <v>0.2112070765831504</v>
      </c>
      <c r="C241" s="163">
        <v>125</v>
      </c>
    </row>
    <row r="242" spans="1:3" ht="14.25">
      <c r="A242" s="195" t="s">
        <v>92</v>
      </c>
      <c r="B242" s="169">
        <f>'33'!G15+'34'!G9</f>
        <v>0.02674281241212384</v>
      </c>
      <c r="C242" s="163" t="s">
        <v>93</v>
      </c>
    </row>
    <row r="243" spans="1:3" ht="14.25">
      <c r="A243" s="219" t="s">
        <v>1220</v>
      </c>
      <c r="B243" s="169">
        <f>'146'!I7+'147'!I6+'154'!I8</f>
        <v>-75.38984608126685</v>
      </c>
      <c r="C243" s="163" t="s">
        <v>1315</v>
      </c>
    </row>
    <row r="244" spans="1:3" ht="14.25">
      <c r="A244" s="195" t="s">
        <v>779</v>
      </c>
      <c r="B244" s="169">
        <f>'86'!I6+'87'!I12+'123'!I7+'126'!I8+'136'!I5</f>
        <v>-4.852383321328659</v>
      </c>
      <c r="C244" s="163" t="s">
        <v>1143</v>
      </c>
    </row>
    <row r="245" spans="1:3" ht="14.25">
      <c r="A245" s="195" t="s">
        <v>799</v>
      </c>
      <c r="B245" s="169">
        <f>'89'!I13</f>
        <v>0.41972364088383074</v>
      </c>
      <c r="C245" s="163">
        <v>89</v>
      </c>
    </row>
    <row r="246" spans="1:3" ht="14.25">
      <c r="A246" s="195" t="s">
        <v>94</v>
      </c>
      <c r="B246" s="169">
        <f>'18'!I13+'19'!I9+'103'!I10+'105'!I10+'111'!I4</f>
        <v>4.599822891349049</v>
      </c>
      <c r="C246" s="163" t="s">
        <v>937</v>
      </c>
    </row>
    <row r="247" spans="1:3" ht="43.5">
      <c r="A247" s="183" t="s">
        <v>95</v>
      </c>
      <c r="B247" s="169">
        <f>'12'!I13+'16(2)'!I6+'18'!I11+'19'!I17+'28'!G9+'29(1)'!G7+'34'!G12+'38'!G6+'39'!G10+'40'!G9+'41'!G11+'45'!G8+'52'!H4+'57'!I5+'78'!I8+'85'!I4+'102'!I12+'116'!I11+'124'!I7+'136'!I17+'140'!I9</f>
        <v>19.247765021056637</v>
      </c>
      <c r="C247" s="163" t="s">
        <v>1175</v>
      </c>
    </row>
    <row r="248" spans="1:3" ht="28.5">
      <c r="A248" s="183" t="s">
        <v>96</v>
      </c>
      <c r="B248" s="169">
        <f>8!I6+'19'!I12+'20'!I4+'40'!G16+'60'!I6+'127'!I11+'130'!I10+'150'!I14+'151'!I4</f>
        <v>5.351166070757131</v>
      </c>
      <c r="C248" s="163" t="s">
        <v>1276</v>
      </c>
    </row>
    <row r="249" spans="1:3" ht="14.25">
      <c r="A249" s="202" t="s">
        <v>1140</v>
      </c>
      <c r="B249" s="169">
        <f>'136'!I14+'139'!I17+'140'!I10+'143'!I8+'150'!I10</f>
        <v>0.1369406724726332</v>
      </c>
      <c r="C249" s="163" t="s">
        <v>1262</v>
      </c>
    </row>
    <row r="250" spans="1:3" ht="14.25">
      <c r="A250" s="194" t="s">
        <v>981</v>
      </c>
      <c r="B250" s="169">
        <f>'121'!I5</f>
        <v>0.5275974523228797</v>
      </c>
      <c r="C250" s="163">
        <v>121</v>
      </c>
    </row>
    <row r="251" spans="1:3" ht="14.25">
      <c r="A251" s="183" t="s">
        <v>492</v>
      </c>
      <c r="B251" s="169">
        <f>'50'!H9+'141'!I11</f>
        <v>0.09203205410472037</v>
      </c>
      <c r="C251" s="163" t="s">
        <v>1184</v>
      </c>
    </row>
    <row r="252" spans="1:3" ht="14.25">
      <c r="A252" s="183" t="s">
        <v>580</v>
      </c>
      <c r="B252" s="169">
        <f>'60'!I21+'94'!I7+'97'!I5+'114'!I14+'119'!I17+'131'!I16+'146'!I8</f>
        <v>-7.378016328905403</v>
      </c>
      <c r="C252" s="163" t="s">
        <v>1223</v>
      </c>
    </row>
    <row r="253" spans="1:3" ht="28.5">
      <c r="A253" s="194" t="s">
        <v>97</v>
      </c>
      <c r="B253" s="169">
        <f>'25'!G18+'27'!G12+'29(2)'!G18+'31'!G14+'33'!G4+'36'!G12+'39'!G5+'44'!G14+'48'!G9+'60'!I10</f>
        <v>-0.050709700096888355</v>
      </c>
      <c r="C253" s="163" t="s">
        <v>582</v>
      </c>
    </row>
    <row r="254" spans="1:3" ht="14.25">
      <c r="A254" s="183" t="s">
        <v>1122</v>
      </c>
      <c r="B254" s="169">
        <f>'134'!I10+'142'!I4</f>
        <v>-21.615359756349108</v>
      </c>
      <c r="C254" s="163" t="s">
        <v>1190</v>
      </c>
    </row>
    <row r="255" spans="1:3" ht="14.25">
      <c r="A255" s="194" t="s">
        <v>736</v>
      </c>
      <c r="B255" s="169">
        <f>'80'!I8</f>
        <v>-2.3357553809696583</v>
      </c>
      <c r="C255" s="163">
        <v>80</v>
      </c>
    </row>
    <row r="256" spans="1:3" ht="14.25">
      <c r="A256" s="194" t="s">
        <v>493</v>
      </c>
      <c r="B256" s="169">
        <f>'50'!H10+'65'!I5</f>
        <v>-0.1057691580942901</v>
      </c>
      <c r="C256" s="163" t="s">
        <v>626</v>
      </c>
    </row>
    <row r="257" spans="1:3" ht="14.25">
      <c r="A257" s="194" t="s">
        <v>586</v>
      </c>
      <c r="B257" s="169">
        <f>'61'!I9+'63'!I16+'64'!I5</f>
        <v>0.016349170954981673</v>
      </c>
      <c r="C257" s="163" t="s">
        <v>620</v>
      </c>
    </row>
    <row r="258" spans="1:3" ht="14.25">
      <c r="A258" s="194" t="s">
        <v>537</v>
      </c>
      <c r="B258" s="169">
        <f>'55'!I6</f>
        <v>0.3086153169469412</v>
      </c>
      <c r="C258" s="163">
        <v>55</v>
      </c>
    </row>
    <row r="259" spans="1:3" ht="14.25">
      <c r="A259" s="194" t="s">
        <v>98</v>
      </c>
      <c r="B259" s="169">
        <f>'37'!G10</f>
        <v>0.07171679028988365</v>
      </c>
      <c r="C259" s="163">
        <v>37</v>
      </c>
    </row>
    <row r="260" spans="1:3" ht="14.25">
      <c r="A260" s="194" t="s">
        <v>475</v>
      </c>
      <c r="B260" s="169">
        <f>'48'!G8</f>
        <v>-0.010499617243226567</v>
      </c>
      <c r="C260" s="163">
        <v>48</v>
      </c>
    </row>
    <row r="261" spans="1:3" ht="14.25">
      <c r="A261" s="194" t="s">
        <v>99</v>
      </c>
      <c r="B261" s="169">
        <f>2!I4+7!I9+'20'!I7+'36'!G8</f>
        <v>6.691978610674255</v>
      </c>
      <c r="C261" s="163" t="s">
        <v>100</v>
      </c>
    </row>
    <row r="262" spans="1:3" ht="14.25">
      <c r="A262" s="183" t="s">
        <v>598</v>
      </c>
      <c r="B262" s="169">
        <f>'62'!I10+'138'!I13</f>
        <v>3.782009133566362</v>
      </c>
      <c r="C262" s="163" t="s">
        <v>1159</v>
      </c>
    </row>
    <row r="263" spans="1:3" ht="14.25">
      <c r="A263" s="194" t="s">
        <v>101</v>
      </c>
      <c r="B263" s="169">
        <f>'35'!G8</f>
        <v>-0.3058886150813578</v>
      </c>
      <c r="C263" s="163">
        <v>34</v>
      </c>
    </row>
    <row r="264" spans="1:3" ht="14.25">
      <c r="A264" s="194" t="s">
        <v>496</v>
      </c>
      <c r="B264" s="169">
        <f>'50'!H14+'107'!I8</f>
        <v>-0.013923862895580896</v>
      </c>
      <c r="C264" s="163" t="s">
        <v>922</v>
      </c>
    </row>
    <row r="265" spans="1:3" ht="28.5">
      <c r="A265" s="194" t="s">
        <v>512</v>
      </c>
      <c r="B265" s="169">
        <f>'52'!H10+'53'!H7+'54'!I17+'60'!I16+'69'!I9+'85'!I9+'89'!I14+'110'!I10+'121'!I11+'136'!I15</f>
        <v>-33.472070804706846</v>
      </c>
      <c r="C265" s="163" t="s">
        <v>1144</v>
      </c>
    </row>
    <row r="266" spans="1:3" ht="14.25">
      <c r="A266" s="194" t="s">
        <v>651</v>
      </c>
      <c r="B266" s="169">
        <f>'68'!I6+'69'!I4</f>
        <v>4.394107887508085</v>
      </c>
      <c r="C266" s="163" t="s">
        <v>661</v>
      </c>
    </row>
    <row r="267" spans="1:3" ht="28.5">
      <c r="A267" s="183" t="s">
        <v>102</v>
      </c>
      <c r="B267" s="169">
        <f>'21'!G6+'22'!G8+'25'!G6+'63'!I14+'67'!I11+'77'!I10+'90'!I5+'102'!I10+'104'!I5+'117'!I17+'122'!I5+'144'!I5</f>
        <v>-10.57172868366439</v>
      </c>
      <c r="C267" s="163" t="s">
        <v>1206</v>
      </c>
    </row>
    <row r="268" spans="1:3" ht="14.25">
      <c r="A268" s="194" t="s">
        <v>749</v>
      </c>
      <c r="B268" s="169">
        <f>'81'!I10</f>
        <v>6.081244136947191</v>
      </c>
      <c r="C268" s="163">
        <v>81</v>
      </c>
    </row>
    <row r="269" spans="1:3" ht="14.25">
      <c r="A269" s="195" t="s">
        <v>1001</v>
      </c>
      <c r="B269" s="169">
        <f>'29(2)'!G7+'33'!G8+'34'!G6+'44'!G4+'119'!I6</f>
        <v>2.4604108231776536</v>
      </c>
      <c r="C269" s="163" t="s">
        <v>1011</v>
      </c>
    </row>
    <row r="270" spans="1:3" ht="14.25">
      <c r="A270" s="204" t="s">
        <v>104</v>
      </c>
      <c r="B270" s="169">
        <f>'31'!G13</f>
        <v>5.19137691763035</v>
      </c>
      <c r="C270" s="163">
        <v>31</v>
      </c>
    </row>
    <row r="271" spans="1:3" ht="14.25">
      <c r="A271" s="202" t="s">
        <v>1083</v>
      </c>
      <c r="B271" s="169">
        <f>'129'!I10+'149'!I8</f>
        <v>1.5805715434852345</v>
      </c>
      <c r="C271" s="163" t="s">
        <v>1263</v>
      </c>
    </row>
    <row r="272" spans="1:3" ht="14.25">
      <c r="A272" s="204" t="s">
        <v>105</v>
      </c>
      <c r="B272" s="169">
        <f>'16(2)'!I12+'17'!I6</f>
        <v>-0.311962541435463</v>
      </c>
      <c r="C272" s="163" t="s">
        <v>106</v>
      </c>
    </row>
    <row r="273" spans="1:3" ht="14.25">
      <c r="A273" s="204" t="s">
        <v>107</v>
      </c>
      <c r="B273" s="169">
        <f>'25'!G7</f>
        <v>2.1435862323229458</v>
      </c>
      <c r="C273" s="163">
        <v>25</v>
      </c>
    </row>
    <row r="274" spans="1:3" ht="14.25">
      <c r="A274" s="183" t="s">
        <v>1285</v>
      </c>
      <c r="B274" s="169">
        <f>'152'!I4</f>
        <v>1.24897697316635</v>
      </c>
      <c r="C274" s="163">
        <v>152</v>
      </c>
    </row>
    <row r="275" spans="1:3" ht="14.25">
      <c r="A275" s="183" t="s">
        <v>508</v>
      </c>
      <c r="B275" s="169">
        <f>'52'!H5+'54'!I8+'116'!I8+'148'!I6</f>
        <v>-1.3049090866165152</v>
      </c>
      <c r="C275" s="163" t="s">
        <v>1247</v>
      </c>
    </row>
    <row r="276" spans="1:3" ht="14.25">
      <c r="A276" s="195" t="s">
        <v>972</v>
      </c>
      <c r="B276" s="169">
        <f>'116'!I15+'117'!I5</f>
        <v>-6.040206904057584</v>
      </c>
      <c r="C276" s="163" t="s">
        <v>990</v>
      </c>
    </row>
    <row r="277" spans="1:3" ht="14.25">
      <c r="A277" s="194" t="s">
        <v>681</v>
      </c>
      <c r="B277" s="169">
        <f>'72'!I6</f>
        <v>8.000224019370307</v>
      </c>
      <c r="C277" s="163">
        <v>72</v>
      </c>
    </row>
    <row r="278" spans="1:3" ht="14.25">
      <c r="A278" s="194" t="s">
        <v>632</v>
      </c>
      <c r="B278" s="169">
        <f>'66'!I13</f>
        <v>-0.2575584112149727</v>
      </c>
      <c r="C278" s="163">
        <v>66</v>
      </c>
    </row>
    <row r="279" spans="1:3" ht="14.25">
      <c r="A279" s="186" t="s">
        <v>759</v>
      </c>
      <c r="B279" s="169">
        <f>'82'!I9+'90'!I6+'92'!I4+'108'!I6+'138'!I6</f>
        <v>-13.207506795097515</v>
      </c>
      <c r="C279" s="163" t="s">
        <v>1160</v>
      </c>
    </row>
    <row r="280" spans="1:3" ht="14.25">
      <c r="A280" s="186" t="s">
        <v>1056</v>
      </c>
      <c r="B280" s="169">
        <f>'125'!I15+'126'!I12+'143'!I11+'146'!I14</f>
        <v>-0.27149500639256985</v>
      </c>
      <c r="C280" s="163" t="s">
        <v>1222</v>
      </c>
    </row>
    <row r="281" spans="1:3" ht="14.25">
      <c r="A281" s="186" t="s">
        <v>793</v>
      </c>
      <c r="B281" s="169">
        <f>'88'!I6</f>
        <v>0.18762378640781208</v>
      </c>
      <c r="C281" s="163">
        <v>88</v>
      </c>
    </row>
    <row r="282" spans="1:3" ht="14.25">
      <c r="A282" s="186" t="s">
        <v>1066</v>
      </c>
      <c r="B282" s="169">
        <f>'126'!I15+'128'!I10</f>
        <v>0.4437897687341774</v>
      </c>
      <c r="C282" s="163" t="s">
        <v>1079</v>
      </c>
    </row>
    <row r="283" spans="1:3" ht="14.25">
      <c r="A283" s="121" t="s">
        <v>108</v>
      </c>
      <c r="B283" s="169">
        <f>'24'!G10</f>
        <v>0.16717291115014632</v>
      </c>
      <c r="C283" s="163">
        <v>24</v>
      </c>
    </row>
    <row r="284" spans="1:3" ht="14.25">
      <c r="A284" s="121" t="s">
        <v>702</v>
      </c>
      <c r="B284" s="169">
        <f>'74'!I4</f>
        <v>0.46479849785373517</v>
      </c>
      <c r="C284" s="163">
        <v>74</v>
      </c>
    </row>
    <row r="285" spans="1:3" ht="14.25">
      <c r="A285" s="121" t="s">
        <v>109</v>
      </c>
      <c r="B285" s="169">
        <f>'16(1)'!I9+'19'!I19+'41'!G14+'42'!G4+'43'!G6+'75'!I6</f>
        <v>-0.025754919339533444</v>
      </c>
      <c r="C285" s="163" t="s">
        <v>715</v>
      </c>
    </row>
    <row r="286" spans="1:3" ht="14.25">
      <c r="A286" s="121" t="s">
        <v>110</v>
      </c>
      <c r="B286" s="169">
        <f>'28'!G14</f>
        <v>6.849864620938206</v>
      </c>
      <c r="C286" s="163">
        <v>28</v>
      </c>
    </row>
    <row r="287" spans="1:3" ht="14.25">
      <c r="A287" s="121" t="s">
        <v>110</v>
      </c>
      <c r="B287" s="169">
        <f>'36'!G5</f>
        <v>8.217451777786096</v>
      </c>
      <c r="C287" s="163">
        <v>36</v>
      </c>
    </row>
    <row r="288" spans="1:3" ht="14.25">
      <c r="A288" s="196" t="s">
        <v>448</v>
      </c>
      <c r="B288" s="169">
        <f>'45'!G12</f>
        <v>-0.016825986385356373</v>
      </c>
      <c r="C288" s="163">
        <v>45</v>
      </c>
    </row>
    <row r="289" spans="1:3" ht="14.25">
      <c r="A289" s="193" t="s">
        <v>318</v>
      </c>
      <c r="B289" s="169">
        <f>'11'!I9+'12'!I9+'25'!G17+'47'!G14+'138'!I4</f>
        <v>-0.46016868522576715</v>
      </c>
      <c r="C289" s="163" t="s">
        <v>1161</v>
      </c>
    </row>
    <row r="290" spans="1:3" ht="14.25">
      <c r="A290" s="196" t="s">
        <v>515</v>
      </c>
      <c r="B290" s="169">
        <f>'52'!H15+'93'!I7</f>
        <v>-0.42602167242421274</v>
      </c>
      <c r="C290" s="163" t="s">
        <v>838</v>
      </c>
    </row>
    <row r="291" spans="1:3" ht="14.25">
      <c r="A291" s="196" t="s">
        <v>430</v>
      </c>
      <c r="B291" s="169">
        <f>'43'!G4+'55'!I14+'71'!I11</f>
        <v>-3.9182410674770836</v>
      </c>
      <c r="C291" s="163" t="s">
        <v>677</v>
      </c>
    </row>
    <row r="292" spans="1:3" ht="14.25">
      <c r="A292" s="196" t="s">
        <v>624</v>
      </c>
      <c r="B292" s="169">
        <f>'65'!I12</f>
        <v>10.04398428571426</v>
      </c>
      <c r="C292" s="163">
        <v>65</v>
      </c>
    </row>
    <row r="293" spans="1:3" ht="14.25">
      <c r="A293" s="203" t="s">
        <v>1256</v>
      </c>
      <c r="B293" s="169">
        <f>'150'!I7</f>
        <v>1.7669094256261815</v>
      </c>
      <c r="C293" s="163">
        <v>150</v>
      </c>
    </row>
    <row r="294" spans="1:3" ht="14.25">
      <c r="A294" s="196" t="s">
        <v>719</v>
      </c>
      <c r="B294" s="169">
        <f>'76'!I11</f>
        <v>-0.48678629032247045</v>
      </c>
      <c r="C294" s="163">
        <v>76</v>
      </c>
    </row>
    <row r="295" spans="1:3" ht="14.25">
      <c r="A295" s="196" t="s">
        <v>112</v>
      </c>
      <c r="B295" s="169">
        <f>'14'!I15+'43'!G7</f>
        <v>0.3864277155292939</v>
      </c>
      <c r="C295" s="163" t="s">
        <v>438</v>
      </c>
    </row>
    <row r="296" spans="1:3" ht="14.25">
      <c r="A296" s="194" t="s">
        <v>113</v>
      </c>
      <c r="B296" s="169">
        <f>'30'!G9</f>
        <v>-12.55616773585598</v>
      </c>
      <c r="C296" s="163">
        <v>30</v>
      </c>
    </row>
    <row r="297" spans="1:3" ht="14.25">
      <c r="A297" s="187" t="s">
        <v>597</v>
      </c>
      <c r="B297" s="169">
        <f>'62'!I8+'72'!I14+'125'!I7</f>
        <v>6.108872563897876</v>
      </c>
      <c r="C297" s="163" t="s">
        <v>1059</v>
      </c>
    </row>
    <row r="298" spans="1:3" ht="14.25">
      <c r="A298" s="121" t="s">
        <v>867</v>
      </c>
      <c r="B298" s="169">
        <f>'98'!I5</f>
        <v>10.21808723899585</v>
      </c>
      <c r="C298" s="163">
        <v>98</v>
      </c>
    </row>
    <row r="299" spans="1:3" ht="14.25">
      <c r="A299" s="121" t="s">
        <v>796</v>
      </c>
      <c r="B299" s="169">
        <f>'88'!I11</f>
        <v>-8.458834951456197</v>
      </c>
      <c r="C299" s="163">
        <v>88</v>
      </c>
    </row>
    <row r="300" spans="1:3" ht="14.25">
      <c r="A300" s="121" t="s">
        <v>114</v>
      </c>
      <c r="B300" s="169">
        <f>'16(2)'!I7</f>
        <v>-0.7833620900073583</v>
      </c>
      <c r="C300" s="163" t="s">
        <v>31</v>
      </c>
    </row>
    <row r="301" spans="1:3" ht="14.25">
      <c r="A301" s="121" t="s">
        <v>906</v>
      </c>
      <c r="B301" s="169">
        <f>'105'!I12</f>
        <v>0.40989040603665217</v>
      </c>
      <c r="C301" s="163">
        <v>105</v>
      </c>
    </row>
    <row r="302" spans="1:3" ht="14.25">
      <c r="A302" s="121" t="s">
        <v>559</v>
      </c>
      <c r="B302" s="169">
        <f>'58'!I12+'67'!I4</f>
        <v>50.44407711365204</v>
      </c>
      <c r="C302" s="163" t="s">
        <v>648</v>
      </c>
    </row>
    <row r="303" spans="1:3" ht="14.25">
      <c r="A303" s="186" t="s">
        <v>930</v>
      </c>
      <c r="B303" s="169">
        <f>'109'!I6</f>
        <v>-0.1166521583654685</v>
      </c>
      <c r="C303" s="163">
        <v>109</v>
      </c>
    </row>
    <row r="304" spans="1:3" ht="14.25">
      <c r="A304" s="186" t="s">
        <v>1213</v>
      </c>
      <c r="B304" s="169">
        <f>'145'!I8</f>
        <v>29.302966521240023</v>
      </c>
      <c r="C304" s="163">
        <v>145</v>
      </c>
    </row>
    <row r="305" spans="1:3" ht="14.25">
      <c r="A305" s="121" t="s">
        <v>513</v>
      </c>
      <c r="B305" s="169">
        <f>'52'!H12</f>
        <v>-2.6224207863156153</v>
      </c>
      <c r="C305" s="163">
        <v>52</v>
      </c>
    </row>
    <row r="306" spans="1:3" ht="14.25">
      <c r="A306" s="186" t="s">
        <v>519</v>
      </c>
      <c r="B306" s="169">
        <f>'53'!H5+'56'!I6+'63'!I5+'99'!I11+'115'!I7</f>
        <v>0.2877617980705054</v>
      </c>
      <c r="C306" s="163" t="s">
        <v>968</v>
      </c>
    </row>
    <row r="307" spans="1:3" ht="14.25">
      <c r="A307" s="186" t="s">
        <v>971</v>
      </c>
      <c r="B307" s="169">
        <f>'116'!I12</f>
        <v>-26.302467378190386</v>
      </c>
      <c r="C307" s="163">
        <v>116</v>
      </c>
    </row>
    <row r="308" spans="1:3" ht="57.75">
      <c r="A308" s="186" t="s">
        <v>115</v>
      </c>
      <c r="B308" s="169">
        <f>'35'!G10+'36'!G4+'37'!G7+'38'!G4+'39'!G8+'44'!G5+'45'!G7+'49'!G5+'51'!H7+'58'!I10+'60'!I5+'61'!I4+'62'!I11+'64'!I13+'65'!I8+'66'!I9+'69'!I11+'72'!I10+'79'!I15+'80'!I10+'81'!I8+'85'!I5+'94'!I5+'109'!I5+'110'!I9+'119'!I9+'131'!I8+'132'!I11+'133'!I9+'135'!I17+'152'!I7</f>
        <v>1.6618533474771198</v>
      </c>
      <c r="C308" s="163" t="s">
        <v>1289</v>
      </c>
    </row>
    <row r="309" spans="1:3" ht="14.25">
      <c r="A309" s="187" t="s">
        <v>1032</v>
      </c>
      <c r="B309" s="169">
        <f>'123'!I4+'130'!I11</f>
        <v>-20.682773681182198</v>
      </c>
      <c r="C309" s="163" t="s">
        <v>1095</v>
      </c>
    </row>
    <row r="310" spans="1:3" ht="14.25">
      <c r="A310" s="121" t="s">
        <v>804</v>
      </c>
      <c r="B310" s="169">
        <f>'89'!I6</f>
        <v>-0.33964793370159896</v>
      </c>
      <c r="C310" s="163">
        <v>89</v>
      </c>
    </row>
    <row r="311" spans="1:3" ht="14.25">
      <c r="A311" s="201" t="s">
        <v>657</v>
      </c>
      <c r="B311" s="169">
        <f>'69'!I5+'105'!I11+'150'!I9</f>
        <v>112.9361734896969</v>
      </c>
      <c r="C311" s="163" t="s">
        <v>1264</v>
      </c>
    </row>
    <row r="312" spans="1:3" ht="14.25">
      <c r="A312" s="121" t="s">
        <v>116</v>
      </c>
      <c r="B312" s="169">
        <f>'14'!I16</f>
        <v>-1.4265045945662678</v>
      </c>
      <c r="C312" s="163">
        <v>14</v>
      </c>
    </row>
    <row r="313" spans="1:3" ht="14.25">
      <c r="A313" s="186" t="s">
        <v>932</v>
      </c>
      <c r="B313" s="169">
        <f>'110'!I5+'120'!I8+'131'!I10+'138'!I5</f>
        <v>-9.277707467472396</v>
      </c>
      <c r="C313" s="163" t="s">
        <v>1162</v>
      </c>
    </row>
    <row r="314" spans="1:3" ht="14.25">
      <c r="A314" s="121" t="s">
        <v>117</v>
      </c>
      <c r="B314" s="169">
        <f>5!I7</f>
        <v>-0.07084366259709896</v>
      </c>
      <c r="C314" s="163">
        <v>5</v>
      </c>
    </row>
    <row r="315" spans="1:3" ht="43.5">
      <c r="A315" s="216" t="s">
        <v>118</v>
      </c>
      <c r="B315" s="169">
        <f>9!I6+'11'!I6+'13'!I10+'16(1)'!I12+'17'!I17+'19'!I4+'20'!I13+'26'!G6+'29(2)'!G19+'32'!G11+'35'!G12+'38'!G9+'41'!G6+45+'59'!I5+'60'!I7+'68'!I10+'82'!I11+'101'!I4+'102'!I9+'103'!I11+'104'!I6</f>
        <v>0.28334756395520344</v>
      </c>
      <c r="C315" s="163" t="s">
        <v>901</v>
      </c>
    </row>
    <row r="316" spans="1:3" ht="14.25">
      <c r="A316" s="183" t="s">
        <v>935</v>
      </c>
      <c r="B316" s="169">
        <f>'111'!I5+'113'!I5+'118'!I5</f>
        <v>25.132024505309516</v>
      </c>
      <c r="C316" s="163" t="s">
        <v>995</v>
      </c>
    </row>
    <row r="317" spans="1:3" ht="14.25">
      <c r="A317" s="195" t="s">
        <v>1007</v>
      </c>
      <c r="B317" s="169">
        <f>'119'!I19</f>
        <v>30.578743481228685</v>
      </c>
      <c r="C317" s="163">
        <v>119</v>
      </c>
    </row>
    <row r="318" spans="1:3" ht="14.25">
      <c r="A318" s="194" t="s">
        <v>577</v>
      </c>
      <c r="B318" s="169">
        <f>'60'!I9</f>
        <v>-0.2379629080542145</v>
      </c>
      <c r="C318" s="163">
        <v>60</v>
      </c>
    </row>
    <row r="319" spans="1:3" ht="14.25">
      <c r="A319" s="194" t="s">
        <v>119</v>
      </c>
      <c r="B319" s="169">
        <f>'24'!G14+'27'!G10+'46'!G11</f>
        <v>-0.18637757385499754</v>
      </c>
      <c r="C319" s="163" t="s">
        <v>457</v>
      </c>
    </row>
    <row r="320" spans="1:5" ht="14.25">
      <c r="A320" s="194" t="s">
        <v>120</v>
      </c>
      <c r="B320" s="169">
        <f>'20'!I8</f>
        <v>0.23752307692313934</v>
      </c>
      <c r="C320" s="163">
        <v>20</v>
      </c>
      <c r="D320" s="6"/>
      <c r="E320" s="6"/>
    </row>
    <row r="321" spans="1:5" ht="14.25">
      <c r="A321" s="121" t="s">
        <v>413</v>
      </c>
      <c r="B321" s="169">
        <f>'41'!G7+'103'!I6</f>
        <v>2.8633686086324133</v>
      </c>
      <c r="C321" s="163" t="s">
        <v>893</v>
      </c>
      <c r="D321" s="6"/>
      <c r="E321" s="6"/>
    </row>
    <row r="322" spans="1:4" ht="14.25">
      <c r="A322" s="121" t="s">
        <v>121</v>
      </c>
      <c r="B322" s="169">
        <f>'13'!I14+'14'!I5+'18'!I10+'24'!G6</f>
        <v>-5.211545452134828</v>
      </c>
      <c r="C322" s="163" t="s">
        <v>122</v>
      </c>
      <c r="D322" s="6"/>
    </row>
    <row r="323" spans="1:5" ht="14.25">
      <c r="A323" s="186" t="s">
        <v>957</v>
      </c>
      <c r="B323" s="169">
        <f>'114'!I12</f>
        <v>-0.22529232280339784</v>
      </c>
      <c r="C323" s="163">
        <v>114</v>
      </c>
      <c r="D323" s="6"/>
      <c r="E323" s="6"/>
    </row>
    <row r="324" spans="1:5" ht="14.25">
      <c r="A324" s="186" t="s">
        <v>729</v>
      </c>
      <c r="B324" s="169">
        <f>'78'!I12+'98'!I9+'123'!I5</f>
        <v>93.3498938847747</v>
      </c>
      <c r="C324" s="163" t="s">
        <v>1036</v>
      </c>
      <c r="D324" s="6"/>
      <c r="E324" s="6"/>
    </row>
    <row r="325" spans="1:4" ht="14.25">
      <c r="A325" s="186" t="s">
        <v>558</v>
      </c>
      <c r="B325" s="169">
        <f>'23'!G5+'58'!I11+'141'!I8</f>
        <v>29.921950543430285</v>
      </c>
      <c r="C325" s="163" t="s">
        <v>1183</v>
      </c>
      <c r="D325" s="6"/>
    </row>
    <row r="326" spans="1:4" ht="14.25">
      <c r="A326" s="186" t="s">
        <v>692</v>
      </c>
      <c r="B326" s="169">
        <f>'73'!I6+'121'!I10</f>
        <v>7.458762868281099</v>
      </c>
      <c r="C326" s="163" t="s">
        <v>1020</v>
      </c>
      <c r="D326" s="6"/>
    </row>
    <row r="327" spans="1:3" ht="14.25">
      <c r="A327" s="186" t="s">
        <v>1214</v>
      </c>
      <c r="B327" s="169">
        <f>'145'!I10+'148'!I10+'152'!I6+'153'!I11</f>
        <v>1.3630315312128687</v>
      </c>
      <c r="C327" s="163" t="s">
        <v>1302</v>
      </c>
    </row>
    <row r="328" spans="1:4" ht="14.25">
      <c r="A328" s="186" t="s">
        <v>872</v>
      </c>
      <c r="B328" s="169">
        <f>'99'!I12</f>
        <v>-0.3323246359091172</v>
      </c>
      <c r="C328" s="163">
        <v>99</v>
      </c>
      <c r="D328" s="6"/>
    </row>
    <row r="329" spans="1:4" ht="14.25">
      <c r="A329" s="121" t="s">
        <v>540</v>
      </c>
      <c r="B329" s="169">
        <f>'55'!I11</f>
        <v>-0.230588512289728</v>
      </c>
      <c r="C329" s="163">
        <v>55</v>
      </c>
      <c r="D329" s="6"/>
    </row>
    <row r="330" spans="1:4" ht="14.25">
      <c r="A330" s="186" t="s">
        <v>560</v>
      </c>
      <c r="B330" s="169">
        <f>'58'!I13+'75'!I14+'129'!I14</f>
        <v>-60.98060975368912</v>
      </c>
      <c r="C330" s="163" t="s">
        <v>1087</v>
      </c>
      <c r="D330" s="6"/>
    </row>
    <row r="331" spans="1:4" ht="14.25">
      <c r="A331" s="121" t="s">
        <v>124</v>
      </c>
      <c r="B331" s="169">
        <f>'39'!G11+'43'!G5</f>
        <v>0.9503643286959687</v>
      </c>
      <c r="C331" s="163">
        <v>39.43</v>
      </c>
      <c r="D331" s="6"/>
    </row>
    <row r="332" spans="1:4" ht="14.25">
      <c r="A332" s="186" t="s">
        <v>848</v>
      </c>
      <c r="B332" s="169">
        <f>'95'!I9+'115'!I12+'129'!I11+'131'!I5+'143'!I4</f>
        <v>-4.366227750851692</v>
      </c>
      <c r="C332" s="163" t="s">
        <v>1196</v>
      </c>
      <c r="D332" s="6"/>
    </row>
    <row r="333" spans="1:5" ht="14.25">
      <c r="A333" s="121" t="s">
        <v>125</v>
      </c>
      <c r="B333" s="169">
        <f>'23'!G7+'27'!G6+'28'!G6+'44'!G9</f>
        <v>-0.03051164359342806</v>
      </c>
      <c r="C333" s="163" t="s">
        <v>443</v>
      </c>
      <c r="D333" s="6"/>
      <c r="E333" s="6"/>
    </row>
    <row r="334" spans="1:5" ht="28.5">
      <c r="A334" s="186" t="s">
        <v>126</v>
      </c>
      <c r="B334" s="169">
        <f>'29(2)'!G8+'31'!G18+'65'!I4+'66'!I5+'79'!I14+'89'!I8+'95'!I5+'118'!I7+'120'!I4+'135'!I10+'146'!I9+'148'!I15</f>
        <v>-26.19188938114013</v>
      </c>
      <c r="C334" s="163" t="s">
        <v>1246</v>
      </c>
      <c r="D334" s="6"/>
      <c r="E334" s="6"/>
    </row>
    <row r="335" spans="1:5" ht="14.25">
      <c r="A335" s="121" t="s">
        <v>609</v>
      </c>
      <c r="B335" s="169">
        <f>'63'!I10</f>
        <v>0.21634472680398176</v>
      </c>
      <c r="C335" s="163">
        <v>63</v>
      </c>
      <c r="D335" s="6"/>
      <c r="E335" s="6"/>
    </row>
    <row r="336" spans="1:3" ht="14.25">
      <c r="A336" s="186" t="s">
        <v>1240</v>
      </c>
      <c r="B336" s="169">
        <f>'148'!I14</f>
        <v>-1.7430299197321801</v>
      </c>
      <c r="C336" s="163">
        <v>148</v>
      </c>
    </row>
    <row r="337" spans="1:5" ht="87">
      <c r="A337" s="215" t="s">
        <v>127</v>
      </c>
      <c r="B337" s="169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+'144'!I7+'146'!I6+'147'!I7+'153'!I13+'154'!I14</f>
        <v>-41.57135313545558</v>
      </c>
      <c r="C337" s="163" t="s">
        <v>1314</v>
      </c>
      <c r="D337" s="6"/>
      <c r="E337" s="6"/>
    </row>
    <row r="338" spans="1:3" ht="14.25">
      <c r="A338" s="121" t="s">
        <v>128</v>
      </c>
      <c r="B338" s="169">
        <f>6!I5+'64'!I6</f>
        <v>18.270234626092588</v>
      </c>
      <c r="C338" s="163" t="s">
        <v>621</v>
      </c>
    </row>
    <row r="339" spans="1:3" ht="14.25">
      <c r="A339" s="186" t="s">
        <v>416</v>
      </c>
      <c r="B339" s="169">
        <f>'41'!G10+'60'!I22+'61'!I5+'79'!I8+'80'!I9+'86'!I4+'90'!I11+'115'!I10+'152'!I10</f>
        <v>51.575988993506314</v>
      </c>
      <c r="C339" s="163" t="s">
        <v>1288</v>
      </c>
    </row>
    <row r="340" spans="1:5" ht="14.25">
      <c r="A340" s="121" t="s">
        <v>883</v>
      </c>
      <c r="B340" s="169">
        <f>'101'!I9</f>
        <v>2.052687295597593</v>
      </c>
      <c r="C340" s="163">
        <v>101</v>
      </c>
      <c r="D340" s="6"/>
      <c r="E340" s="6"/>
    </row>
    <row r="341" spans="1:3" ht="14.25">
      <c r="A341" s="121" t="s">
        <v>129</v>
      </c>
      <c r="B341" s="169">
        <f>'16(2)'!I10+'20'!I15+'23'!G14</f>
        <v>62.39444596965927</v>
      </c>
      <c r="C341" s="163" t="s">
        <v>130</v>
      </c>
    </row>
    <row r="342" spans="1:3" ht="14.25">
      <c r="A342" s="121" t="s">
        <v>131</v>
      </c>
      <c r="B342" s="169">
        <f>'14'!I18+'16(2)'!I11</f>
        <v>-2.7323260106788894</v>
      </c>
      <c r="C342" s="163" t="s">
        <v>132</v>
      </c>
    </row>
    <row r="343" spans="1:3" ht="14.25">
      <c r="A343" s="187" t="s">
        <v>1093</v>
      </c>
      <c r="B343" s="169">
        <f>'130'!I12</f>
        <v>-0.0027543993953713652</v>
      </c>
      <c r="C343" s="163">
        <v>130</v>
      </c>
    </row>
    <row r="344" spans="1:3" ht="14.25">
      <c r="A344" s="186" t="s">
        <v>585</v>
      </c>
      <c r="B344" s="169">
        <f>'61'!I8+'125'!I10+'128'!I8+'132'!I6</f>
        <v>7.123143202018241</v>
      </c>
      <c r="C344" s="163" t="s">
        <v>1110</v>
      </c>
    </row>
    <row r="345" spans="1:3" ht="14.25">
      <c r="A345" s="186" t="s">
        <v>133</v>
      </c>
      <c r="B345" s="169">
        <f>'19'!I10+'26'!G11+'29(2)'!G14+'36'!G11+'118'!I9</f>
        <v>2.7326471754896033</v>
      </c>
      <c r="C345" s="163" t="s">
        <v>996</v>
      </c>
    </row>
    <row r="346" spans="1:3" ht="14.25">
      <c r="A346" s="121" t="s">
        <v>948</v>
      </c>
      <c r="B346" s="169">
        <f>'113'!I11</f>
        <v>25.442031296625146</v>
      </c>
      <c r="C346" s="163">
        <v>113</v>
      </c>
    </row>
    <row r="347" spans="1:3" ht="14.25">
      <c r="A347" s="121" t="s">
        <v>423</v>
      </c>
      <c r="B347" s="169">
        <f>'42'!G9+'72'!I4</f>
        <v>0.16057859006554054</v>
      </c>
      <c r="C347" s="163" t="s">
        <v>687</v>
      </c>
    </row>
    <row r="348" spans="1:3" ht="14.25">
      <c r="A348" s="121" t="s">
        <v>447</v>
      </c>
      <c r="B348" s="169">
        <f>'45'!G9+'116'!I4</f>
        <v>0.07964599055026156</v>
      </c>
      <c r="C348" s="163" t="s">
        <v>973</v>
      </c>
    </row>
    <row r="349" spans="1:3" ht="14.25">
      <c r="A349" s="121" t="s">
        <v>473</v>
      </c>
      <c r="B349" s="169">
        <f>'48'!G5</f>
        <v>-8.04356502081248</v>
      </c>
      <c r="C349" s="163">
        <v>48</v>
      </c>
    </row>
    <row r="350" spans="1:4" ht="14.25">
      <c r="A350" s="201" t="s">
        <v>134</v>
      </c>
      <c r="B350" s="169">
        <f>'16(2)'!I8+'19'!I18+'25'!G10+'60'!I13+'64'!I15+'96'!I6+'113'!I15+'148'!I12</f>
        <v>0.37834903266437436</v>
      </c>
      <c r="C350" s="163" t="s">
        <v>1245</v>
      </c>
      <c r="D350" s="6"/>
    </row>
    <row r="351" spans="1:3" ht="14.25">
      <c r="A351" s="201" t="s">
        <v>1239</v>
      </c>
      <c r="B351" s="169">
        <f>'148'!I13</f>
        <v>3.5781595618728943</v>
      </c>
      <c r="C351" s="163">
        <v>148</v>
      </c>
    </row>
    <row r="352" spans="1:3" ht="14.25">
      <c r="A352" s="121" t="s">
        <v>542</v>
      </c>
      <c r="B352" s="169">
        <f>'56'!I4</f>
        <v>0.3152323779854669</v>
      </c>
      <c r="C352" s="163">
        <v>56</v>
      </c>
    </row>
    <row r="353" spans="1:3" ht="14.25">
      <c r="A353" s="121" t="s">
        <v>135</v>
      </c>
      <c r="B353" s="169">
        <f>'24'!G7</f>
        <v>-4.938543917967081</v>
      </c>
      <c r="C353" s="163">
        <v>24</v>
      </c>
    </row>
    <row r="354" spans="1:3" ht="14.25">
      <c r="A354" s="121" t="s">
        <v>742</v>
      </c>
      <c r="B354" s="169">
        <f>'81'!I4+'95'!I7+'114'!I9</f>
        <v>-6.296465785841974</v>
      </c>
      <c r="C354" s="163" t="s">
        <v>961</v>
      </c>
    </row>
    <row r="355" spans="1:3" ht="14.25">
      <c r="A355" s="186" t="s">
        <v>1152</v>
      </c>
      <c r="B355" s="169">
        <f>'137'!I13</f>
        <v>3.1667516969696408</v>
      </c>
      <c r="C355" s="163">
        <v>137</v>
      </c>
    </row>
    <row r="356" spans="1:3" ht="14.25">
      <c r="A356" s="187" t="s">
        <v>556</v>
      </c>
      <c r="B356" s="169">
        <f>'58'!I7+'75'!I12+'98'!I7+'110'!I7+'119'!I13</f>
        <v>8.258084639146205</v>
      </c>
      <c r="C356" s="163" t="s">
        <v>1012</v>
      </c>
    </row>
    <row r="357" spans="1:3" ht="14.25">
      <c r="A357" s="186" t="s">
        <v>1169</v>
      </c>
      <c r="B357" s="169">
        <f>'35'!G7+'70'!I13+'139'!I16</f>
        <v>-29.407411823013263</v>
      </c>
      <c r="C357" s="163" t="s">
        <v>1170</v>
      </c>
    </row>
    <row r="358" spans="1:3" ht="14.25">
      <c r="A358" s="186" t="s">
        <v>495</v>
      </c>
      <c r="B358" s="169">
        <f>'50'!H13+'52'!H11+'59'!I4+'63'!I11+'65'!I9+'147'!I5</f>
        <v>-2.4985774823658176</v>
      </c>
      <c r="C358" s="163" t="s">
        <v>1234</v>
      </c>
    </row>
    <row r="359" spans="1:3" ht="14.25">
      <c r="A359" s="121" t="s">
        <v>882</v>
      </c>
      <c r="B359" s="169">
        <f>'101'!I8</f>
        <v>2.5161438993711727</v>
      </c>
      <c r="C359" s="163">
        <v>101</v>
      </c>
    </row>
    <row r="360" spans="1:3" ht="14.25">
      <c r="A360" s="186" t="s">
        <v>786</v>
      </c>
      <c r="B360" s="169">
        <f>'87'!I6+'92'!I6+'104'!I4+'141'!I4</f>
        <v>-0.2861348051111463</v>
      </c>
      <c r="C360" s="163" t="s">
        <v>1182</v>
      </c>
    </row>
    <row r="361" spans="1:3" ht="14.25">
      <c r="A361" s="186" t="s">
        <v>1219</v>
      </c>
      <c r="B361" s="169">
        <f>'146'!I4</f>
        <v>-0.413583928362641</v>
      </c>
      <c r="C361" s="163">
        <v>146</v>
      </c>
    </row>
    <row r="362" spans="1:3" ht="14.25">
      <c r="A362" s="186" t="s">
        <v>1043</v>
      </c>
      <c r="B362" s="169">
        <f>'124'!I18</f>
        <v>-62.73881277213286</v>
      </c>
      <c r="C362" s="163">
        <v>124</v>
      </c>
    </row>
    <row r="363" spans="1:3" ht="14.25">
      <c r="A363" s="121" t="s">
        <v>1017</v>
      </c>
      <c r="B363" s="169">
        <f>'121'!I6</f>
        <v>-0.6206888312957517</v>
      </c>
      <c r="C363" s="163">
        <v>121</v>
      </c>
    </row>
    <row r="364" spans="1:3" ht="14.25">
      <c r="A364" s="121" t="s">
        <v>137</v>
      </c>
      <c r="B364" s="169">
        <f>'24'!G5</f>
        <v>64.17885221702636</v>
      </c>
      <c r="C364" s="163">
        <v>24</v>
      </c>
    </row>
    <row r="365" spans="1:3" ht="14.25">
      <c r="A365" s="121" t="s">
        <v>138</v>
      </c>
      <c r="B365" s="169">
        <f>'13'!I9+'16(1)'!I8</f>
        <v>52.913083198135155</v>
      </c>
      <c r="C365" s="163" t="s">
        <v>139</v>
      </c>
    </row>
    <row r="366" spans="1:3" ht="14.25">
      <c r="A366" s="186" t="s">
        <v>795</v>
      </c>
      <c r="B366" s="169">
        <f>'88'!I8+'92'!I7+'124'!I9</f>
        <v>-0.3191090028375356</v>
      </c>
      <c r="C366" s="163" t="s">
        <v>1045</v>
      </c>
    </row>
    <row r="367" spans="1:3" ht="28.5">
      <c r="A367" s="186" t="s">
        <v>453</v>
      </c>
      <c r="B367" s="169">
        <f>'46'!G5+'50'!H5+'54'!I16+'56'!I12+'60'!I12+'63'!I15+'75'!I13+'76'!I12+'78'!I6+'79'!I13+'82'!I16+'129'!I4</f>
        <v>2.7370964252758654</v>
      </c>
      <c r="C367" s="163" t="s">
        <v>1088</v>
      </c>
    </row>
    <row r="368" spans="1:3" ht="14.25">
      <c r="A368" s="187" t="s">
        <v>714</v>
      </c>
      <c r="B368" s="169">
        <f>'75'!I8+'84'!I11+'125'!I21</f>
        <v>-72.82262142379022</v>
      </c>
      <c r="C368" s="163" t="s">
        <v>1060</v>
      </c>
    </row>
    <row r="369" spans="1:3" ht="115.5">
      <c r="A369" s="215" t="s">
        <v>418</v>
      </c>
      <c r="B369" s="169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+'144'!I13+'145'!I7+'148'!I5+'150'!I5+'154'!I6</f>
        <v>83.45829889131676</v>
      </c>
      <c r="C369" s="163" t="s">
        <v>1313</v>
      </c>
    </row>
    <row r="370" spans="1:3" ht="14.25">
      <c r="A370" s="186" t="s">
        <v>1255</v>
      </c>
      <c r="B370" s="169">
        <f>'150'!I4</f>
        <v>-0.26431013254779145</v>
      </c>
      <c r="C370" s="163">
        <v>150</v>
      </c>
    </row>
    <row r="371" spans="1:3" ht="28.5">
      <c r="A371" s="215" t="s">
        <v>140</v>
      </c>
      <c r="B371" s="169">
        <f>'29(1)'!G15+'40'!G15+'46'!G6+'80'!I16+'87'!I16+'88'!I12+'94'!I6+'130'!I14+'154'!I11</f>
        <v>-72.92315486160078</v>
      </c>
      <c r="C371" s="163" t="s">
        <v>1312</v>
      </c>
    </row>
    <row r="372" spans="1:3" ht="14.25">
      <c r="A372" s="121" t="s">
        <v>141</v>
      </c>
      <c r="B372" s="169">
        <f>'32'!G7+'35'!G11+'56'!I11+'63'!I9</f>
        <v>40.64537443730126</v>
      </c>
      <c r="C372" s="163" t="s">
        <v>613</v>
      </c>
    </row>
    <row r="373" spans="1:3" ht="14.25">
      <c r="A373" s="121" t="s">
        <v>529</v>
      </c>
      <c r="B373" s="169">
        <f>'54'!I12+'77'!I5+'82'!I14+'87'!I4</f>
        <v>-0.08159177425159214</v>
      </c>
      <c r="C373" s="163" t="s">
        <v>789</v>
      </c>
    </row>
    <row r="374" spans="1:3" ht="14.25">
      <c r="A374" s="189" t="s">
        <v>142</v>
      </c>
      <c r="B374" s="169">
        <f>'29(2)'!G13</f>
        <v>-0.35793348086440346</v>
      </c>
      <c r="C374" s="163" t="s">
        <v>69</v>
      </c>
    </row>
    <row r="375" spans="1:3" ht="14.25">
      <c r="A375" s="121" t="s">
        <v>143</v>
      </c>
      <c r="B375" s="169">
        <f>2!I8+4!I4+5!I9+'13'!I7+'14'!I7+'16(2)'!I14</f>
        <v>-0.26795477762348696</v>
      </c>
      <c r="C375" s="163" t="s">
        <v>144</v>
      </c>
    </row>
    <row r="376" spans="1:3" ht="28.5">
      <c r="A376" s="186" t="s">
        <v>145</v>
      </c>
      <c r="B376" s="169">
        <f>'33'!G10+'35'!G9+'40'!G10+'49'!G8+'75'!I9+'77'!I11+'88'!I4+'96'!I7+'104'!I7+'136'!I4+'143'!I12</f>
        <v>-66.24025023630259</v>
      </c>
      <c r="C376" s="163" t="s">
        <v>1195</v>
      </c>
    </row>
    <row r="377" spans="1:3" ht="14.25">
      <c r="A377" s="121" t="s">
        <v>767</v>
      </c>
      <c r="B377" s="169">
        <f>'84'!I5+'106'!I7</f>
        <v>-2.2961864458849277</v>
      </c>
      <c r="C377" s="163" t="s">
        <v>915</v>
      </c>
    </row>
    <row r="378" spans="1:3" ht="14.25">
      <c r="A378" s="186" t="s">
        <v>947</v>
      </c>
      <c r="B378" s="169">
        <f>'113'!I10</f>
        <v>-2.932160852575521</v>
      </c>
      <c r="C378" s="163">
        <v>113</v>
      </c>
    </row>
    <row r="379" spans="1:3" ht="14.25">
      <c r="A379" s="121" t="s">
        <v>617</v>
      </c>
      <c r="B379" s="169">
        <f>'64'!I10</f>
        <v>14.06402575633689</v>
      </c>
      <c r="C379" s="163">
        <v>64</v>
      </c>
    </row>
    <row r="380" spans="1:3" ht="14.25">
      <c r="A380" s="187" t="s">
        <v>572</v>
      </c>
      <c r="B380" s="169">
        <f>'59'!I16+'66'!I6+'81'!I5</f>
        <v>22.04753093697707</v>
      </c>
      <c r="C380" s="163" t="s">
        <v>747</v>
      </c>
    </row>
    <row r="381" spans="1:3" ht="14.25">
      <c r="A381" s="195" t="s">
        <v>734</v>
      </c>
      <c r="B381" s="169">
        <f>'80'!I5+'82'!I13+'96'!I5+'120'!I7</f>
        <v>-0.10996868917629854</v>
      </c>
      <c r="C381" s="163" t="s">
        <v>1013</v>
      </c>
    </row>
    <row r="382" spans="1:3" ht="14.25">
      <c r="A382" s="194" t="s">
        <v>146</v>
      </c>
      <c r="B382" s="169">
        <f>4!I11</f>
        <v>0.3555208241029959</v>
      </c>
      <c r="C382" s="163">
        <v>4</v>
      </c>
    </row>
    <row r="383" spans="1:3" ht="28.5">
      <c r="A383" s="183" t="s">
        <v>693</v>
      </c>
      <c r="B383" s="169">
        <f>'73'!I7+'75'!I11+'83'!I4+'87'!I14+'92'!I9+'104'!I15+'115'!I8+'123'!I10+'137'!I9+'144'!I11+'148'!I7</f>
        <v>3.5783241540507333</v>
      </c>
      <c r="C383" s="163" t="s">
        <v>1244</v>
      </c>
    </row>
    <row r="384" spans="1:3" ht="14.25">
      <c r="A384" s="183" t="s">
        <v>911</v>
      </c>
      <c r="B384" s="169">
        <f>'106'!I8+'131'!I6</f>
        <v>2.586995105159019</v>
      </c>
      <c r="C384" s="163" t="s">
        <v>1101</v>
      </c>
    </row>
    <row r="385" spans="1:3" ht="14.25">
      <c r="A385" s="183" t="s">
        <v>548</v>
      </c>
      <c r="B385" s="169">
        <f>'57'!I4+'73'!I8+'75'!I5+'76'!I7+'104'!I16+'113'!I17+'133'!I5+'135'!I6</f>
        <v>26.801078808841794</v>
      </c>
      <c r="C385" s="163" t="s">
        <v>1136</v>
      </c>
    </row>
    <row r="386" spans="1:3" ht="14.25">
      <c r="A386" s="194" t="s">
        <v>474</v>
      </c>
      <c r="B386" s="169">
        <f>'48'!G7</f>
        <v>0.15460360748261337</v>
      </c>
      <c r="C386" s="163">
        <v>48</v>
      </c>
    </row>
    <row r="387" spans="1:3" ht="14.25">
      <c r="A387" s="194" t="s">
        <v>442</v>
      </c>
      <c r="B387" s="169">
        <f>'44'!G13</f>
        <v>-0.18921123132406592</v>
      </c>
      <c r="C387" s="163">
        <v>44</v>
      </c>
    </row>
    <row r="388" spans="1:3" ht="14.25">
      <c r="A388" s="195" t="s">
        <v>1091</v>
      </c>
      <c r="B388" s="169">
        <f>'130'!I7</f>
        <v>-7.430469079879003</v>
      </c>
      <c r="C388" s="163">
        <v>130</v>
      </c>
    </row>
    <row r="389" spans="1:3" ht="14.25">
      <c r="A389" s="121" t="s">
        <v>557</v>
      </c>
      <c r="B389" s="169">
        <f>'58'!I8</f>
        <v>97.86730037594043</v>
      </c>
      <c r="C389" s="163">
        <v>58</v>
      </c>
    </row>
    <row r="390" spans="1:3" ht="14.25">
      <c r="A390" s="189" t="s">
        <v>147</v>
      </c>
      <c r="B390" s="169">
        <f>'28'!G13</f>
        <v>0.9007972322502837</v>
      </c>
      <c r="C390" s="163">
        <v>28</v>
      </c>
    </row>
    <row r="391" spans="1:3" ht="14.25">
      <c r="A391" s="121" t="s">
        <v>491</v>
      </c>
      <c r="B391" s="169">
        <f>'50'!H8</f>
        <v>0.060383711746226254</v>
      </c>
      <c r="C391" s="163">
        <v>50</v>
      </c>
    </row>
    <row r="392" spans="1:3" ht="14.25">
      <c r="A392" s="186" t="s">
        <v>913</v>
      </c>
      <c r="B392" s="169">
        <f>'106'!I1+'137'!I4+'139'!I9</f>
        <v>0.4489979684396985</v>
      </c>
      <c r="C392" s="163" t="s">
        <v>1171</v>
      </c>
    </row>
    <row r="393" spans="1:3" ht="14.25">
      <c r="A393" s="186" t="s">
        <v>479</v>
      </c>
      <c r="B393" s="169">
        <f>'49'!G9+'77'!I6+'79'!I6+'80'!I15+'108'!I5+'138'!I12</f>
        <v>-11.83270695987153</v>
      </c>
      <c r="C393" s="163" t="s">
        <v>1163</v>
      </c>
    </row>
    <row r="394" spans="1:3" ht="14.25">
      <c r="A394" s="121" t="s">
        <v>148</v>
      </c>
      <c r="B394" s="169">
        <f>'37'!G5+'87'!I15</f>
        <v>-1.038624263627014</v>
      </c>
      <c r="C394" s="163">
        <v>37.87</v>
      </c>
    </row>
    <row r="395" spans="1:3" ht="14.25">
      <c r="A395" s="121" t="s">
        <v>988</v>
      </c>
      <c r="B395" s="169">
        <f>'117'!I18</f>
        <v>-0.17332083675773902</v>
      </c>
      <c r="C395" s="163">
        <v>117</v>
      </c>
    </row>
    <row r="396" spans="1:3" ht="14.25">
      <c r="A396" s="186" t="s">
        <v>1258</v>
      </c>
      <c r="B396" s="169">
        <f>'150'!I15</f>
        <v>-20.812442209130495</v>
      </c>
      <c r="C396" s="163">
        <v>150</v>
      </c>
    </row>
    <row r="397" spans="1:3" ht="14.25">
      <c r="A397" s="121" t="s">
        <v>149</v>
      </c>
      <c r="B397" s="169">
        <f>'17'!I5</f>
        <v>-1.0175167811578376</v>
      </c>
      <c r="C397" s="163">
        <v>17</v>
      </c>
    </row>
    <row r="398" spans="1:3" ht="14.25">
      <c r="A398" s="186" t="s">
        <v>1123</v>
      </c>
      <c r="B398" s="169">
        <f>'134'!I11+'149'!I11</f>
        <v>22.23737631475865</v>
      </c>
      <c r="C398" s="163" t="s">
        <v>1265</v>
      </c>
    </row>
    <row r="399" spans="1:3" ht="14.25">
      <c r="A399" s="121" t="s">
        <v>150</v>
      </c>
      <c r="B399" s="169">
        <f>'14'!I20</f>
        <v>0.385818121263128</v>
      </c>
      <c r="C399" s="163">
        <v>14</v>
      </c>
    </row>
    <row r="400" spans="1:3" ht="14.25">
      <c r="A400" s="186" t="s">
        <v>1212</v>
      </c>
      <c r="B400" s="169">
        <f>'145'!I6</f>
        <v>-0.13319384615397212</v>
      </c>
      <c r="C400" s="163">
        <v>145</v>
      </c>
    </row>
    <row r="401" spans="1:3" ht="14.25">
      <c r="A401" s="186" t="s">
        <v>1253</v>
      </c>
      <c r="B401" s="169">
        <f>'149'!I7</f>
        <v>0.40424423350759753</v>
      </c>
      <c r="C401" s="163">
        <v>149</v>
      </c>
    </row>
    <row r="402" spans="1:3" ht="14.25">
      <c r="A402" s="121" t="s">
        <v>151</v>
      </c>
      <c r="B402" s="169">
        <f>'28'!G8</f>
        <v>0.8726729843561998</v>
      </c>
      <c r="C402" s="163">
        <v>28</v>
      </c>
    </row>
    <row r="403" spans="1:3" ht="14.25">
      <c r="A403" s="121" t="s">
        <v>1069</v>
      </c>
      <c r="B403" s="169">
        <f>'127'!I5</f>
        <v>-3.3526133408071246</v>
      </c>
      <c r="C403" s="163">
        <v>127</v>
      </c>
    </row>
    <row r="404" spans="1:3" ht="14.25">
      <c r="A404" s="186" t="s">
        <v>1121</v>
      </c>
      <c r="B404" s="169">
        <f>'134'!I9+'143'!I5+'146'!I12+'151'!I10</f>
        <v>0.41889514225852054</v>
      </c>
      <c r="C404" s="163" t="s">
        <v>1275</v>
      </c>
    </row>
    <row r="405" spans="1:3" ht="14.25">
      <c r="A405" s="121" t="s">
        <v>501</v>
      </c>
      <c r="B405" s="169">
        <f>'51'!H9</f>
        <v>0.1605030188679848</v>
      </c>
      <c r="C405" s="163">
        <v>51</v>
      </c>
    </row>
    <row r="406" spans="1:3" ht="14.25">
      <c r="A406" s="121" t="s">
        <v>803</v>
      </c>
      <c r="B406" s="169">
        <f>'89'!I5</f>
        <v>-0.4295247734805798</v>
      </c>
      <c r="C406" s="163">
        <v>89</v>
      </c>
    </row>
    <row r="407" spans="1:3" ht="14.25">
      <c r="A407" s="186" t="s">
        <v>1166</v>
      </c>
      <c r="B407" s="169">
        <f>'139'!I8</f>
        <v>0.4676820875915837</v>
      </c>
      <c r="C407" s="163">
        <v>139</v>
      </c>
    </row>
    <row r="408" spans="1:3" ht="14.25">
      <c r="A408" s="121" t="s">
        <v>152</v>
      </c>
      <c r="B408" s="169">
        <f>'12'!I16+'14'!I12+'38'!G5</f>
        <v>-2.2311829689456317</v>
      </c>
      <c r="C408" s="163" t="s">
        <v>153</v>
      </c>
    </row>
    <row r="409" spans="1:3" ht="14.25">
      <c r="A409" s="121" t="s">
        <v>555</v>
      </c>
      <c r="B409" s="169">
        <f>'58'!I5+'62'!I9</f>
        <v>-0.32373129886809693</v>
      </c>
      <c r="C409" s="163" t="s">
        <v>602</v>
      </c>
    </row>
    <row r="410" spans="1:3" ht="14.25">
      <c r="A410" s="121" t="s">
        <v>847</v>
      </c>
      <c r="B410" s="169">
        <f>'95'!I6</f>
        <v>13.76510434195734</v>
      </c>
      <c r="C410" s="163">
        <v>95</v>
      </c>
    </row>
    <row r="411" spans="1:3" ht="14.25">
      <c r="A411" s="121" t="s">
        <v>154</v>
      </c>
      <c r="B411" s="169">
        <f>'31'!G16</f>
        <v>8.080706160018849</v>
      </c>
      <c r="C411" s="163">
        <v>31</v>
      </c>
    </row>
    <row r="412" spans="1:3" ht="57.75">
      <c r="A412" s="186" t="s">
        <v>155</v>
      </c>
      <c r="B412" s="169">
        <f>'20'!I9+'27'!G9+'29(2)'!G16+'31'!G5+'32'!G9+'34'!G5+'41'!G12+'43'!G8+'46'!G4+'48'!G4+'52'!H9+'54'!I15+'70'!I8+'72'!I11+'76'!I4+'82'!I8+'83'!I6+'102'!I5+'116'!I13+'117'!I12+'133'!I8+'134'!I7+'141'!I10+'144'!I6+'146'!I15+'152'!I12</f>
        <v>-15.606646555173285</v>
      </c>
      <c r="C412" s="163" t="s">
        <v>1287</v>
      </c>
    </row>
    <row r="413" spans="1:3" ht="43.5">
      <c r="A413" s="186" t="s">
        <v>630</v>
      </c>
      <c r="B413" s="169">
        <f>'66'!I11+'67'!I14+'72'!I7+'94'!I12+'96'!I13+'105'!I6+'106'!I13+'112'!I8+'115'!I6+'117'!I11+'119'!I8+'130'!I9+'131'!I14+'135'!I11+'137'!I8+'139'!I6+'146'!I13+'147'!I9+'148'!I17+'150'!I13</f>
        <v>20.87237173462904</v>
      </c>
      <c r="C413" s="163" t="s">
        <v>1266</v>
      </c>
    </row>
    <row r="414" spans="1:3" ht="14.25">
      <c r="A414" s="186" t="s">
        <v>1076</v>
      </c>
      <c r="B414" s="169">
        <f>'128'!I11</f>
        <v>0.12727497215382755</v>
      </c>
      <c r="C414" s="163">
        <v>128</v>
      </c>
    </row>
    <row r="415" spans="1:3" ht="14.25">
      <c r="A415" s="121" t="s">
        <v>156</v>
      </c>
      <c r="B415" s="169">
        <f>'33'!G13+'42'!G6+'50'!H12</f>
        <v>-0.05134831815144025</v>
      </c>
      <c r="C415" s="163" t="s">
        <v>497</v>
      </c>
    </row>
    <row r="416" spans="1:3" ht="14.25">
      <c r="A416" s="196" t="s">
        <v>157</v>
      </c>
      <c r="B416" s="178">
        <f>'16(2)'!I9</f>
        <v>-5.279036409865057</v>
      </c>
      <c r="C416" s="179" t="s">
        <v>31</v>
      </c>
    </row>
    <row r="417" spans="1:3" ht="14.25">
      <c r="A417" s="183" t="s">
        <v>579</v>
      </c>
      <c r="B417" s="169">
        <f>'60'!I17+'124'!I11</f>
        <v>-3.735545627853071</v>
      </c>
      <c r="C417" s="163" t="s">
        <v>1046</v>
      </c>
    </row>
    <row r="418" spans="1:3" ht="14.25">
      <c r="A418" s="194" t="s">
        <v>158</v>
      </c>
      <c r="B418" s="169">
        <f>'25'!G16</f>
        <v>5.935818252442459</v>
      </c>
      <c r="C418" s="163">
        <v>25</v>
      </c>
    </row>
    <row r="419" spans="1:3" ht="28.5">
      <c r="A419" s="183" t="s">
        <v>918</v>
      </c>
      <c r="B419" s="169">
        <f>'107'!I5+'113'!I12+'115'!I11+'119'!I4+'129'!I17+'136'!I8+'144'!I16+'153'!I14</f>
        <v>7.545061099992324</v>
      </c>
      <c r="C419" s="163" t="s">
        <v>1303</v>
      </c>
    </row>
    <row r="420" spans="1:3" ht="14.25">
      <c r="A420" s="183" t="s">
        <v>946</v>
      </c>
      <c r="B420" s="169">
        <f>'113'!I8+'122'!I13</f>
        <v>-0.9902448079111537</v>
      </c>
      <c r="C420" s="163" t="s">
        <v>1028</v>
      </c>
    </row>
    <row r="421" spans="1:3" ht="14.25">
      <c r="A421" s="183" t="s">
        <v>723</v>
      </c>
      <c r="B421" s="169">
        <f>'77'!I7+'92'!I8+'136'!I11</f>
        <v>-1.8746821950956019</v>
      </c>
      <c r="C421" s="163" t="s">
        <v>1145</v>
      </c>
    </row>
    <row r="422" spans="1:3" ht="14.25">
      <c r="A422" s="195" t="s">
        <v>1053</v>
      </c>
      <c r="B422" s="169">
        <f>'125'!I12</f>
        <v>-0.1782947717231309</v>
      </c>
      <c r="C422" s="163">
        <v>125</v>
      </c>
    </row>
    <row r="423" spans="1:3" ht="14.25">
      <c r="A423" s="183" t="s">
        <v>1082</v>
      </c>
      <c r="B423" s="169">
        <f>'129'!I5+'136'!I16+'139'!I7</f>
        <v>0.02897459548455572</v>
      </c>
      <c r="C423" s="163" t="s">
        <v>1172</v>
      </c>
    </row>
    <row r="424" spans="1:3" ht="14.25">
      <c r="A424" s="194" t="s">
        <v>159</v>
      </c>
      <c r="B424" s="169">
        <f>'20'!I14+'21'!G9+'23'!G16+'29(1)'!G10</f>
        <v>4.519749534337251</v>
      </c>
      <c r="C424" s="163" t="s">
        <v>160</v>
      </c>
    </row>
    <row r="425" spans="1:3" ht="14.25">
      <c r="A425" s="183" t="s">
        <v>993</v>
      </c>
      <c r="B425" s="169">
        <f>'118'!I4</f>
        <v>30.081091990846744</v>
      </c>
      <c r="C425" s="163">
        <v>118</v>
      </c>
    </row>
    <row r="426" spans="1:3" ht="14.25">
      <c r="A426" s="183" t="s">
        <v>465</v>
      </c>
      <c r="B426" s="169">
        <f>'47'!G10</f>
        <v>-0.3522664878969408</v>
      </c>
      <c r="C426" s="163">
        <v>47</v>
      </c>
    </row>
    <row r="427" spans="1:3" ht="14.25">
      <c r="A427" s="215" t="s">
        <v>1307</v>
      </c>
      <c r="B427" s="169">
        <f>'131'!I11+'134'!I8+'154'!I5</f>
        <v>-43.54374302124074</v>
      </c>
      <c r="C427" s="163" t="s">
        <v>1311</v>
      </c>
    </row>
    <row r="428" spans="1:3" ht="14.25">
      <c r="A428" s="186" t="s">
        <v>682</v>
      </c>
      <c r="B428" s="169">
        <f>'72'!I9</f>
        <v>6.4189867312347815</v>
      </c>
      <c r="C428" s="163">
        <v>72</v>
      </c>
    </row>
    <row r="429" spans="1:3" ht="14.25">
      <c r="A429" s="121" t="s">
        <v>161</v>
      </c>
      <c r="B429" s="169">
        <f>3!I5</f>
        <v>-9.799272465160925</v>
      </c>
      <c r="C429" s="163">
        <v>3</v>
      </c>
    </row>
    <row r="430" spans="1:3" ht="14.25">
      <c r="A430" s="186" t="s">
        <v>1065</v>
      </c>
      <c r="B430" s="169">
        <f>'126'!I13</f>
        <v>-0.46390615587256434</v>
      </c>
      <c r="C430" s="163">
        <v>126</v>
      </c>
    </row>
    <row r="431" spans="1:3" ht="14.25">
      <c r="A431" s="186" t="s">
        <v>1226</v>
      </c>
      <c r="B431" s="169">
        <f>'147'!I8</f>
        <v>-0.12848257958285103</v>
      </c>
      <c r="C431" s="163">
        <v>147</v>
      </c>
    </row>
    <row r="432" spans="1:3" ht="14.25">
      <c r="A432" s="121" t="s">
        <v>941</v>
      </c>
      <c r="B432" s="169">
        <f>'112'!I11</f>
        <v>-1.5673263157892734</v>
      </c>
      <c r="C432" s="163">
        <v>112</v>
      </c>
    </row>
    <row r="433" spans="1:3" ht="14.25">
      <c r="A433" s="186" t="s">
        <v>1167</v>
      </c>
      <c r="B433" s="169">
        <f>'139'!I12</f>
        <v>-25.099247240875684</v>
      </c>
      <c r="C433" s="163">
        <v>139</v>
      </c>
    </row>
    <row r="434" spans="1:3" ht="14.25">
      <c r="A434" s="121" t="s">
        <v>615</v>
      </c>
      <c r="B434" s="169">
        <f>'64'!I7</f>
        <v>39.17221654946843</v>
      </c>
      <c r="C434" s="163">
        <v>64</v>
      </c>
    </row>
    <row r="435" spans="1:3" ht="14.25">
      <c r="A435" s="121" t="s">
        <v>534</v>
      </c>
      <c r="B435" s="169">
        <f>'55'!I12</f>
        <v>0.4477978654591652</v>
      </c>
      <c r="C435" s="163">
        <v>55</v>
      </c>
    </row>
    <row r="436" spans="1:3" ht="14.25">
      <c r="A436" s="121" t="s">
        <v>646</v>
      </c>
      <c r="B436" s="169">
        <f>'67'!I10+'79'!I9+'94'!I13</f>
        <v>3.3446129348080262</v>
      </c>
      <c r="C436" s="163" t="s">
        <v>845</v>
      </c>
    </row>
    <row r="437" spans="1:3" ht="14.25">
      <c r="A437" s="189" t="s">
        <v>162</v>
      </c>
      <c r="B437" s="169">
        <f>'30'!G12+'55'!I8</f>
        <v>-0.1362735207642345</v>
      </c>
      <c r="C437" s="163" t="s">
        <v>541</v>
      </c>
    </row>
    <row r="438" spans="1:3" ht="14.25">
      <c r="A438" s="121" t="s">
        <v>422</v>
      </c>
      <c r="B438" s="169">
        <f>'42'!G8</f>
        <v>-0.33400953310308523</v>
      </c>
      <c r="C438" s="163">
        <v>42</v>
      </c>
    </row>
    <row r="439" spans="1:3" ht="14.25">
      <c r="A439" s="186" t="s">
        <v>868</v>
      </c>
      <c r="B439" s="169">
        <f>'98'!I6+'118'!I11</f>
        <v>41.7016001846514</v>
      </c>
      <c r="C439" s="163" t="s">
        <v>997</v>
      </c>
    </row>
    <row r="440" spans="1:3" ht="14.25">
      <c r="A440" s="121" t="s">
        <v>163</v>
      </c>
      <c r="B440" s="169">
        <f>2!I6+4!I10+7!I5+'18'!I12+'21'!G14+'22'!G11+'24'!G16</f>
        <v>-3.0264099509668654</v>
      </c>
      <c r="C440" s="163" t="s">
        <v>164</v>
      </c>
    </row>
    <row r="441" spans="1:3" ht="14.25">
      <c r="A441" s="186" t="s">
        <v>1227</v>
      </c>
      <c r="B441" s="169">
        <f>'147'!I15+'149'!I10</f>
        <v>3.606689665207341</v>
      </c>
      <c r="C441" s="163" t="s">
        <v>1267</v>
      </c>
    </row>
    <row r="442" spans="1:3" ht="14.25">
      <c r="A442" s="215" t="s">
        <v>1309</v>
      </c>
      <c r="B442" s="169">
        <f>'154'!I9</f>
        <v>5.868165470726126</v>
      </c>
      <c r="C442" s="163">
        <v>154</v>
      </c>
    </row>
    <row r="443" spans="1:3" ht="14.25">
      <c r="A443" s="121" t="s">
        <v>165</v>
      </c>
      <c r="B443" s="169">
        <f>'36'!G10</f>
        <v>18.73798828489339</v>
      </c>
      <c r="C443" s="163">
        <v>36</v>
      </c>
    </row>
    <row r="444" spans="1:3" ht="14.25">
      <c r="A444" s="121" t="s">
        <v>166</v>
      </c>
      <c r="B444" s="169">
        <f>'12'!I17+'19'!I7</f>
        <v>0.38755488348715517</v>
      </c>
      <c r="C444" s="163" t="s">
        <v>167</v>
      </c>
    </row>
    <row r="445" spans="1:3" ht="14.25">
      <c r="A445" s="121" t="s">
        <v>168</v>
      </c>
      <c r="B445" s="169">
        <f>'33'!G17+'38'!G10+'59'!I11+'60'!I25+'112'!I7</f>
        <v>-29.116932331433418</v>
      </c>
      <c r="C445" s="163" t="s">
        <v>943</v>
      </c>
    </row>
    <row r="446" spans="1:3" ht="14.25">
      <c r="A446" s="186" t="s">
        <v>625</v>
      </c>
      <c r="B446" s="169">
        <f>'65'!I13+'66'!I7+'79'!I17+'86'!I9+'124'!I10</f>
        <v>-8.695082678359313</v>
      </c>
      <c r="C446" s="163" t="s">
        <v>1047</v>
      </c>
    </row>
    <row r="447" spans="1:3" ht="14.25">
      <c r="A447" s="121" t="s">
        <v>169</v>
      </c>
      <c r="B447" s="169">
        <f>'31'!G4</f>
        <v>12.114333726693303</v>
      </c>
      <c r="C447" s="163">
        <v>31</v>
      </c>
    </row>
    <row r="448" spans="1:3" ht="14.25">
      <c r="A448" s="121" t="s">
        <v>599</v>
      </c>
      <c r="B448" s="169">
        <f>'62'!I12+'127'!I5</f>
        <v>-3.323976805169991</v>
      </c>
      <c r="C448" s="163" t="s">
        <v>1071</v>
      </c>
    </row>
    <row r="449" spans="1:3" ht="14.25">
      <c r="A449" s="121" t="s">
        <v>945</v>
      </c>
      <c r="B449" s="169">
        <f>'113'!I6</f>
        <v>0.4747035701598179</v>
      </c>
      <c r="C449" s="163">
        <v>113</v>
      </c>
    </row>
    <row r="450" spans="1:3" ht="14.25">
      <c r="A450" s="186" t="s">
        <v>1283</v>
      </c>
      <c r="B450" s="169">
        <f>'151'!I11</f>
        <v>-0.21844969724770635</v>
      </c>
      <c r="C450" s="163">
        <v>151</v>
      </c>
    </row>
    <row r="451" spans="1:3" ht="14.25">
      <c r="A451" s="186" t="s">
        <v>569</v>
      </c>
      <c r="B451" s="169">
        <f>'59'!I12+'78'!I11+'81'!I9+'82'!I15+'86'!I10+'109'!I9+'153'!I5</f>
        <v>5.938369968833115</v>
      </c>
      <c r="C451" s="163" t="s">
        <v>1304</v>
      </c>
    </row>
    <row r="452" spans="1:3" ht="14.25">
      <c r="A452" s="186" t="s">
        <v>1271</v>
      </c>
      <c r="B452" s="169">
        <f>'108'!I7+'147'!I12+'151'!I6</f>
        <v>-0.5309282252969751</v>
      </c>
      <c r="C452" s="163" t="s">
        <v>1274</v>
      </c>
    </row>
    <row r="453" spans="1:3" ht="14.25">
      <c r="A453" s="186" t="s">
        <v>614</v>
      </c>
      <c r="B453" s="169">
        <f>'64'!I4+'84'!I4+'87'!I13+'90'!I9+'91'!I5+'99'!I6+'129'!I8+'150'!I11</f>
        <v>-0.10020900510906472</v>
      </c>
      <c r="C453" s="163" t="s">
        <v>1268</v>
      </c>
    </row>
    <row r="454" spans="1:3" ht="14.25">
      <c r="A454" s="121" t="s">
        <v>170</v>
      </c>
      <c r="B454" s="169">
        <f>'29(2)'!G6</f>
        <v>0.21974550898198686</v>
      </c>
      <c r="C454" s="163" t="s">
        <v>69</v>
      </c>
    </row>
    <row r="455" spans="1:3" ht="14.25">
      <c r="A455" s="186" t="s">
        <v>1130</v>
      </c>
      <c r="B455" s="169">
        <f>'135'!I8</f>
        <v>-4.270873126385823</v>
      </c>
      <c r="C455" s="163">
        <v>135</v>
      </c>
    </row>
    <row r="456" spans="1:3" ht="14.25">
      <c r="A456" s="186" t="s">
        <v>1070</v>
      </c>
      <c r="B456" s="169">
        <f>'127'!I8+'147'!I16</f>
        <v>-0.015543015165349061</v>
      </c>
      <c r="C456" s="163" t="s">
        <v>1235</v>
      </c>
    </row>
    <row r="457" spans="1:3" ht="14.25">
      <c r="A457" s="186" t="s">
        <v>842</v>
      </c>
      <c r="B457" s="169">
        <f>'94'!I11</f>
        <v>-0.4302895881006634</v>
      </c>
      <c r="C457" s="163">
        <v>94</v>
      </c>
    </row>
    <row r="458" spans="1:3" ht="14.25">
      <c r="A458" s="186" t="s">
        <v>1084</v>
      </c>
      <c r="B458" s="169">
        <f>'129'!I12</f>
        <v>6.692105251641124</v>
      </c>
      <c r="C458" s="163">
        <v>129</v>
      </c>
    </row>
    <row r="459" spans="1:3" ht="14.25">
      <c r="A459" s="121" t="s">
        <v>526</v>
      </c>
      <c r="B459" s="169">
        <f>'54'!I7</f>
        <v>-0.18070106411994402</v>
      </c>
      <c r="C459" s="163">
        <v>54</v>
      </c>
    </row>
    <row r="460" spans="1:3" ht="14.25">
      <c r="A460" s="187" t="s">
        <v>1008</v>
      </c>
      <c r="B460" s="169">
        <f>'120'!I6</f>
        <v>-0.3530193876024441</v>
      </c>
      <c r="C460" s="163">
        <v>120</v>
      </c>
    </row>
    <row r="461" spans="1:3" ht="14.25">
      <c r="A461" s="121" t="s">
        <v>171</v>
      </c>
      <c r="B461" s="169">
        <f>'25'!G8</f>
        <v>3.910956074052592</v>
      </c>
      <c r="C461" s="163">
        <v>25</v>
      </c>
    </row>
    <row r="462" spans="1:3" ht="14.25">
      <c r="A462" s="121" t="s">
        <v>172</v>
      </c>
      <c r="B462" s="169">
        <f>'23'!G8</f>
        <v>3.234460964630216</v>
      </c>
      <c r="C462" s="163">
        <v>23</v>
      </c>
    </row>
    <row r="463" spans="1:3" ht="28.5">
      <c r="A463" s="121" t="s">
        <v>173</v>
      </c>
      <c r="B463" s="169">
        <f>'36'!G15+'38'!G8+'40'!G4+'44'!G11+'47'!G5+'51'!H5+'56'!I7+'58'!I4+'60'!I14+'62'!I13+'77'!I8</f>
        <v>7.2242376289225945</v>
      </c>
      <c r="C463" s="163" t="s">
        <v>725</v>
      </c>
    </row>
    <row r="464" spans="1:3" ht="14.25">
      <c r="A464" s="121" t="s">
        <v>588</v>
      </c>
      <c r="B464" s="169">
        <f>'61'!I11</f>
        <v>-0.051879333333317845</v>
      </c>
      <c r="C464" s="163">
        <v>61</v>
      </c>
    </row>
    <row r="465" spans="1:3" ht="14.25">
      <c r="A465" s="121" t="s">
        <v>645</v>
      </c>
      <c r="B465" s="169">
        <f>'67'!I7+'73'!I9+'76'!I10+'92'!I11</f>
        <v>21.128997765785698</v>
      </c>
      <c r="C465" s="163" t="s">
        <v>827</v>
      </c>
    </row>
    <row r="466" spans="1:3" ht="72">
      <c r="A466" s="209" t="s">
        <v>174</v>
      </c>
      <c r="B466" s="169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+'143'!I13+'145'!I9+'146'!I5+'153'!I10+'154'!I12</f>
        <v>-43.23685103623612</v>
      </c>
      <c r="C466" s="163" t="s">
        <v>1310</v>
      </c>
    </row>
    <row r="467" spans="1:3" ht="14.25">
      <c r="A467" s="121" t="s">
        <v>175</v>
      </c>
      <c r="B467" s="169">
        <f>2!I11+'13'!I12+'14'!I11+'17'!I14+'23'!G13+'29(1)'!G4+'30'!G11+'47'!G9</f>
        <v>-0.24230741628753094</v>
      </c>
      <c r="C467" s="163" t="s">
        <v>468</v>
      </c>
    </row>
    <row r="468" spans="1:3" ht="14.25">
      <c r="A468" s="121" t="s">
        <v>551</v>
      </c>
      <c r="B468" s="169">
        <f>'57'!I10+'89'!I9</f>
        <v>-0.4540056241238517</v>
      </c>
      <c r="C468" s="163" t="s">
        <v>808</v>
      </c>
    </row>
    <row r="469" spans="1:3" ht="14.25">
      <c r="A469" s="121" t="s">
        <v>409</v>
      </c>
      <c r="B469" s="169">
        <f>'40'!G17+'43'!G11+'46'!G10+'70'!I11+'76'!I8+'83'!I5</f>
        <v>45.41859516109287</v>
      </c>
      <c r="C469" s="163" t="s">
        <v>765</v>
      </c>
    </row>
    <row r="470" spans="1:3" ht="14.25">
      <c r="A470" s="186" t="s">
        <v>1180</v>
      </c>
      <c r="B470" s="169">
        <f>'141'!I6</f>
        <v>-16.47742078448914</v>
      </c>
      <c r="C470" s="163">
        <v>141</v>
      </c>
    </row>
    <row r="471" spans="1:3" ht="14.25">
      <c r="A471" s="186" t="s">
        <v>514</v>
      </c>
      <c r="B471" s="169">
        <f>'52'!H13+'108'!I9+'113'!I7+'125'!I17+'126'!I10+'132'!I10</f>
        <v>-30.511253015858415</v>
      </c>
      <c r="C471" s="163" t="s">
        <v>1111</v>
      </c>
    </row>
    <row r="472" spans="1:3" ht="14.25">
      <c r="A472" s="186" t="s">
        <v>178</v>
      </c>
      <c r="B472" s="169">
        <f>'38'!G11+'44'!G8+'135'!I15+'142'!I6+'147'!I11+'150'!I6</f>
        <v>-3.072867622372655</v>
      </c>
      <c r="C472" s="163" t="s">
        <v>1269</v>
      </c>
    </row>
    <row r="473" spans="1:3" ht="14.25">
      <c r="A473" s="186" t="s">
        <v>1024</v>
      </c>
      <c r="B473" s="169">
        <f>'122'!I9</f>
        <v>8.386116292134602</v>
      </c>
      <c r="C473" s="163">
        <v>122</v>
      </c>
    </row>
    <row r="474" spans="1:3" ht="14.25">
      <c r="A474" s="121" t="s">
        <v>708</v>
      </c>
      <c r="B474" s="169">
        <f>'76'!I6</f>
        <v>8.051636290322676</v>
      </c>
      <c r="C474" s="163">
        <v>76</v>
      </c>
    </row>
    <row r="475" spans="1:3" ht="14.25">
      <c r="A475" s="121" t="s">
        <v>176</v>
      </c>
      <c r="B475" s="169">
        <f>2!I7+3!I7+4!I8+5!I6+6!I6+'13'!I6+'18'!I6+'25'!G14</f>
        <v>-0.06785785490546914</v>
      </c>
      <c r="C475" s="163" t="s">
        <v>177</v>
      </c>
    </row>
    <row r="476" spans="1:3" ht="14.25">
      <c r="A476" s="186" t="s">
        <v>823</v>
      </c>
      <c r="B476" s="169">
        <f>'92'!I16+'94'!I9+'124'!I5</f>
        <v>-0.11330790982776762</v>
      </c>
      <c r="C476" s="163" t="s">
        <v>1048</v>
      </c>
    </row>
    <row r="477" spans="1:3" ht="14.25">
      <c r="A477" s="121" t="s">
        <v>179</v>
      </c>
      <c r="B477" s="169">
        <f>'14'!I17+'15'!I9</f>
        <v>0.06758883892348422</v>
      </c>
      <c r="C477" s="163" t="s">
        <v>180</v>
      </c>
    </row>
    <row r="478" spans="1:3" ht="14.25">
      <c r="A478" s="187" t="s">
        <v>181</v>
      </c>
      <c r="B478" s="169">
        <f>7!I6+9!I7+'11'!I4+'14'!I14+'15'!I7+'21'!G16+'51'!H12</f>
        <v>1.983580625282002</v>
      </c>
      <c r="C478" s="163" t="s">
        <v>505</v>
      </c>
    </row>
    <row r="479" spans="1:3" ht="14.25">
      <c r="A479" s="121" t="s">
        <v>182</v>
      </c>
      <c r="B479" s="169">
        <f>'19'!I14+'28'!G4+'32'!G10+'34'!G13</f>
        <v>-0.10878419799064432</v>
      </c>
      <c r="C479" s="163" t="s">
        <v>183</v>
      </c>
    </row>
    <row r="480" spans="1:3" ht="14.25">
      <c r="A480" s="121" t="s">
        <v>184</v>
      </c>
      <c r="B480" s="169">
        <f>'28'!G11+'36'!G6</f>
        <v>4.291855236672916</v>
      </c>
      <c r="C480" s="163" t="s">
        <v>185</v>
      </c>
    </row>
    <row r="481" spans="1:3" ht="14.25">
      <c r="A481" s="121" t="s">
        <v>813</v>
      </c>
      <c r="B481" s="169">
        <f>'90'!I8</f>
        <v>0.03478605451948624</v>
      </c>
      <c r="C481" s="163">
        <v>90</v>
      </c>
    </row>
    <row r="482" spans="1:3" ht="14.25">
      <c r="A482" s="121" t="s">
        <v>186</v>
      </c>
      <c r="B482" s="169">
        <f>'33'!G12+'72'!I13</f>
        <v>0.07549991357552699</v>
      </c>
      <c r="C482" s="163" t="s">
        <v>688</v>
      </c>
    </row>
    <row r="483" spans="1:3" ht="14.25">
      <c r="A483" s="121" t="s">
        <v>187</v>
      </c>
      <c r="B483" s="169">
        <f>'13'!I16</f>
        <v>-1.742719999999963</v>
      </c>
      <c r="C483" s="163">
        <v>13</v>
      </c>
    </row>
    <row r="484" spans="1:3" ht="14.25">
      <c r="A484" s="196" t="s">
        <v>844</v>
      </c>
      <c r="B484" s="178">
        <f>'94'!I8</f>
        <v>0.191667620137423</v>
      </c>
      <c r="C484" s="179">
        <v>94</v>
      </c>
    </row>
    <row r="485" spans="1:3" ht="14.25">
      <c r="A485" s="183" t="s">
        <v>936</v>
      </c>
      <c r="B485" s="169">
        <f>'111'!I6+'137'!I6</f>
        <v>1.6550014735756804</v>
      </c>
      <c r="C485" s="163" t="s">
        <v>1154</v>
      </c>
    </row>
    <row r="486" spans="1:3" ht="14.25">
      <c r="A486" s="194" t="s">
        <v>531</v>
      </c>
      <c r="B486" s="169">
        <f>'54'!I14+'55'!I9+'60'!I4</f>
        <v>0.4695145227969988</v>
      </c>
      <c r="C486" s="163" t="s">
        <v>581</v>
      </c>
    </row>
    <row r="487" spans="1:3" ht="14.25">
      <c r="A487" s="183" t="s">
        <v>731</v>
      </c>
      <c r="B487" s="169">
        <f>'79'!I10</f>
        <v>-28.975520627062906</v>
      </c>
      <c r="C487" s="163">
        <v>79</v>
      </c>
    </row>
    <row r="488" spans="1:3" ht="14.25">
      <c r="A488" s="183" t="s">
        <v>188</v>
      </c>
      <c r="B488" s="169">
        <f>3!I11+5!I11+'11'!I11+'22'!G4+'29(2)'!G9+'37'!G6+'83'!I9+'131'!I17</f>
        <v>-0.633606242240603</v>
      </c>
      <c r="C488" s="163" t="s">
        <v>1100</v>
      </c>
    </row>
    <row r="489" spans="1:3" ht="14.25">
      <c r="A489" s="195" t="s">
        <v>722</v>
      </c>
      <c r="B489" s="169">
        <f>'77'!I4+'92'!I5+'97'!I9+'102'!I11+'110'!I8+'117'!I16</f>
        <v>-0.3192449888038027</v>
      </c>
      <c r="C489" s="163" t="s">
        <v>991</v>
      </c>
    </row>
    <row r="490" spans="1:3" ht="14.25">
      <c r="A490" s="218" t="s">
        <v>953</v>
      </c>
      <c r="B490" s="169">
        <f>'114'!I5</f>
        <v>-9.416141624634975</v>
      </c>
      <c r="C490" s="163">
        <v>114</v>
      </c>
    </row>
    <row r="491" spans="1:3" ht="14.25">
      <c r="A491" s="183" t="s">
        <v>675</v>
      </c>
      <c r="B491" s="169">
        <f>'71'!I10+'97'!I14+'104'!I14+'105'!I13+'129'!I6+'139'!I11</f>
        <v>0.48541769095675136</v>
      </c>
      <c r="C491" s="163" t="s">
        <v>1173</v>
      </c>
    </row>
    <row r="492" spans="1:3" ht="14.25">
      <c r="A492" s="194" t="s">
        <v>189</v>
      </c>
      <c r="B492" s="169">
        <f>'17'!I9</f>
        <v>-1.983577625122507</v>
      </c>
      <c r="C492" s="163">
        <v>17</v>
      </c>
    </row>
    <row r="493" spans="1:3" ht="14.25">
      <c r="A493" s="194" t="s">
        <v>806</v>
      </c>
      <c r="B493" s="169">
        <f>'89'!I12</f>
        <v>0.014457580109592527</v>
      </c>
      <c r="C493" s="163">
        <v>89</v>
      </c>
    </row>
    <row r="494" spans="1:3" ht="14.25">
      <c r="A494" s="194" t="s">
        <v>190</v>
      </c>
      <c r="B494" s="169">
        <f>'36'!G16+'40'!G7+'54'!I9+'57'!I9+'84'!I7+'90'!I4+'114'!I6</f>
        <v>0.10852901408833304</v>
      </c>
      <c r="C494" s="163" t="s">
        <v>959</v>
      </c>
    </row>
    <row r="495" spans="1:3" ht="14.25">
      <c r="A495" s="183" t="s">
        <v>772</v>
      </c>
      <c r="B495" s="169">
        <f>'85'!I7</f>
        <v>-30.37893762811109</v>
      </c>
      <c r="C495" s="163">
        <v>85</v>
      </c>
    </row>
    <row r="496" spans="1:3" ht="14.25">
      <c r="A496" s="194" t="s">
        <v>191</v>
      </c>
      <c r="B496" s="169">
        <f>'29(2)'!G4</f>
        <v>0.11064846394151573</v>
      </c>
      <c r="C496" s="163" t="s">
        <v>69</v>
      </c>
    </row>
    <row r="497" spans="1:3" ht="14.25">
      <c r="A497" s="202" t="s">
        <v>607</v>
      </c>
      <c r="B497" s="169">
        <f>'63'!I4+'81'!I13+'104'!I12+'127'!I9+'148'!I9</f>
        <v>19.55863927895666</v>
      </c>
      <c r="C497" s="163" t="s">
        <v>1243</v>
      </c>
    </row>
    <row r="498" spans="1:3" ht="14.25">
      <c r="A498" s="214" t="s">
        <v>774</v>
      </c>
      <c r="B498" s="169">
        <f>'85'!I10+'118'!I13+'120'!I9</f>
        <v>0.09335546118450111</v>
      </c>
      <c r="C498" s="163" t="s">
        <v>1014</v>
      </c>
    </row>
    <row r="499" spans="1:3" ht="14.25">
      <c r="A499" s="202" t="s">
        <v>1034</v>
      </c>
      <c r="B499" s="169">
        <f>'123'!I11+'138'!I10</f>
        <v>-0.1526137745699998</v>
      </c>
      <c r="C499" s="163" t="s">
        <v>1164</v>
      </c>
    </row>
    <row r="500" spans="1:3" ht="14.25">
      <c r="A500" s="202" t="s">
        <v>985</v>
      </c>
      <c r="B500" s="169">
        <f>'117'!I6+'134'!I4</f>
        <v>-0.31945028897274597</v>
      </c>
      <c r="C500" s="163" t="s">
        <v>1125</v>
      </c>
    </row>
    <row r="501" spans="1:3" ht="14.25">
      <c r="A501" s="202" t="s">
        <v>192</v>
      </c>
      <c r="B501" s="169">
        <f>'32'!G8+'141'!I7+'143'!I7</f>
        <v>15.483615988686495</v>
      </c>
      <c r="C501" s="163" t="s">
        <v>1194</v>
      </c>
    </row>
    <row r="502" spans="1:3" ht="14.25">
      <c r="A502" s="202" t="s">
        <v>1092</v>
      </c>
      <c r="B502" s="169">
        <f>'130'!I8+'132'!I17</f>
        <v>-0.11960043868350567</v>
      </c>
      <c r="C502" s="163" t="s">
        <v>1112</v>
      </c>
    </row>
    <row r="503" spans="1:3" ht="14.25">
      <c r="A503" s="201" t="s">
        <v>1033</v>
      </c>
      <c r="B503" s="169">
        <f>'123'!I6</f>
        <v>0.17215569301265532</v>
      </c>
      <c r="C503" s="163">
        <v>123</v>
      </c>
    </row>
    <row r="504" spans="1:3" ht="14.25">
      <c r="A504" s="201" t="s">
        <v>1131</v>
      </c>
      <c r="B504" s="169">
        <f>'55'!I4+'60'!I15+'135'!I9</f>
        <v>-8.404907111474927</v>
      </c>
      <c r="C504" s="163" t="s">
        <v>1135</v>
      </c>
    </row>
    <row r="505" spans="1:3" ht="14.25">
      <c r="A505" s="221" t="s">
        <v>873</v>
      </c>
      <c r="B505" s="169">
        <f>'99'!I8</f>
        <v>-0.3368053474150656</v>
      </c>
      <c r="C505" s="163">
        <v>99</v>
      </c>
    </row>
    <row r="506" spans="1:3" ht="14.25">
      <c r="A506" s="201" t="s">
        <v>490</v>
      </c>
      <c r="B506" s="169">
        <f>'50'!H7+'72'!I8+'96'!I9+'126'!I7</f>
        <v>0.26532714664188006</v>
      </c>
      <c r="C506" s="163" t="s">
        <v>1067</v>
      </c>
    </row>
    <row r="507" spans="1:3" ht="14.25">
      <c r="A507" s="201" t="s">
        <v>1132</v>
      </c>
      <c r="B507" s="169">
        <f>'135'!I13+'142'!I5</f>
        <v>0.3227736480735075</v>
      </c>
      <c r="C507" s="163" t="s">
        <v>1189</v>
      </c>
    </row>
    <row r="508" spans="1:3" ht="14.25">
      <c r="A508" s="221" t="s">
        <v>193</v>
      </c>
      <c r="B508" s="169">
        <f>'29(2)'!G11+'32'!G13+'35'!G5+'69'!I13+'94'!I10</f>
        <v>18.79827308843994</v>
      </c>
      <c r="C508" s="163" t="s">
        <v>843</v>
      </c>
    </row>
    <row r="509" spans="1:3" ht="14.25">
      <c r="A509" s="201" t="s">
        <v>1153</v>
      </c>
      <c r="B509" s="169">
        <f>'137'!I16+'148'!I4</f>
        <v>-0.10640079923700796</v>
      </c>
      <c r="C509" s="163" t="s">
        <v>1242</v>
      </c>
    </row>
    <row r="510" spans="1:3" ht="28.5">
      <c r="A510" s="121" t="s">
        <v>594</v>
      </c>
      <c r="B510" s="169">
        <f>'14'!I9+'17'!I16+'20'!I5+'21'!G11+'61'!I13+'62'!I4+'78'!I4+'106'!I14+'132'!I13</f>
        <v>0.04412619920776706</v>
      </c>
      <c r="C510" s="163" t="s">
        <v>1113</v>
      </c>
    </row>
    <row r="511" spans="1:3" ht="14.25">
      <c r="A511" s="121" t="s">
        <v>194</v>
      </c>
      <c r="B511" s="169">
        <f>'14'!I6</f>
        <v>6.281968766390378</v>
      </c>
      <c r="C511" s="163">
        <v>14</v>
      </c>
    </row>
    <row r="512" spans="1:3" ht="14.25">
      <c r="A512" s="187" t="s">
        <v>738</v>
      </c>
      <c r="B512" s="169">
        <f>'80'!I14+'81'!I14+'103'!I9+'120'!I5</f>
        <v>90.27587042489631</v>
      </c>
      <c r="C512" s="163" t="s">
        <v>1015</v>
      </c>
    </row>
    <row r="513" spans="1:3" ht="14.25">
      <c r="A513" s="121" t="s">
        <v>195</v>
      </c>
      <c r="B513" s="169">
        <f>2!I9</f>
        <v>157.6688079646019</v>
      </c>
      <c r="C513" s="163">
        <v>2</v>
      </c>
    </row>
    <row r="514" spans="1:3" ht="14.25">
      <c r="A514" s="186" t="s">
        <v>1097</v>
      </c>
      <c r="B514" s="169">
        <f>'131'!I7</f>
        <v>-0.26284275362320386</v>
      </c>
      <c r="C514" s="163">
        <v>131</v>
      </c>
    </row>
    <row r="515" spans="1:3" ht="14.25">
      <c r="A515" s="121" t="s">
        <v>735</v>
      </c>
      <c r="B515" s="169">
        <f>'80'!I6</f>
        <v>41.877081633248395</v>
      </c>
      <c r="C515" s="163">
        <v>80</v>
      </c>
    </row>
    <row r="516" spans="1:3" ht="14.25">
      <c r="A516" s="186" t="s">
        <v>1192</v>
      </c>
      <c r="B516" s="169">
        <f>'143'!I6</f>
        <v>-17.839228468899478</v>
      </c>
      <c r="C516" s="163">
        <v>143</v>
      </c>
    </row>
    <row r="517" spans="1:3" ht="14.25">
      <c r="A517" s="121" t="s">
        <v>523</v>
      </c>
      <c r="B517" s="169">
        <f>'54'!I5+'59'!I6</f>
        <v>0.0420651730037207</v>
      </c>
      <c r="C517" s="163" t="s">
        <v>573</v>
      </c>
    </row>
    <row r="518" spans="1:3" ht="14.25">
      <c r="A518" s="186" t="s">
        <v>1148</v>
      </c>
      <c r="B518" s="169">
        <f>'137'!I7</f>
        <v>-0.062493141906884375</v>
      </c>
      <c r="C518" s="163">
        <v>137</v>
      </c>
    </row>
    <row r="519" spans="1:3" ht="14.25">
      <c r="A519" s="186" t="s">
        <v>964</v>
      </c>
      <c r="B519" s="169">
        <f>'91'!I7+'33'!G9+'90'!I10+'115'!I5+'116'!I16</f>
        <v>11.067499458783573</v>
      </c>
      <c r="C519" s="163" t="s">
        <v>976</v>
      </c>
    </row>
    <row r="520" spans="1:3" ht="14.25">
      <c r="A520" s="121" t="s">
        <v>761</v>
      </c>
      <c r="B520" s="169">
        <f>'82'!I12</f>
        <v>-0.34527743526496124</v>
      </c>
      <c r="C520" s="163">
        <v>82</v>
      </c>
    </row>
    <row r="521" spans="1:3" ht="14.25">
      <c r="A521" s="121" t="s">
        <v>764</v>
      </c>
      <c r="B521" s="169">
        <f>'83'!I10</f>
        <v>33.03891231114403</v>
      </c>
      <c r="C521" s="163">
        <v>83</v>
      </c>
    </row>
    <row r="522" spans="1:3" ht="14.25">
      <c r="A522" s="186" t="s">
        <v>773</v>
      </c>
      <c r="B522" s="169">
        <f>'85'!I8</f>
        <v>0.030218740849250025</v>
      </c>
      <c r="C522" s="163">
        <v>85</v>
      </c>
    </row>
    <row r="523" spans="1:3" ht="14.25">
      <c r="A523" s="186" t="s">
        <v>1119</v>
      </c>
      <c r="B523" s="169">
        <f>'134'!I5</f>
        <v>0.21390056892755638</v>
      </c>
      <c r="C523" s="163">
        <v>134</v>
      </c>
    </row>
    <row r="524" spans="1:3" ht="14.25">
      <c r="A524" s="180" t="s">
        <v>455</v>
      </c>
      <c r="B524" s="169">
        <f>'46'!G8+'152'!I11</f>
        <v>-23.846372966781928</v>
      </c>
      <c r="C524" s="163" t="s">
        <v>1286</v>
      </c>
    </row>
    <row r="525" spans="1:3" ht="14.25">
      <c r="A525" s="121" t="s">
        <v>504</v>
      </c>
      <c r="B525" s="169">
        <f>'51'!H11+'70'!I5</f>
        <v>-0.2720355897704394</v>
      </c>
      <c r="C525" s="163" t="s">
        <v>671</v>
      </c>
    </row>
    <row r="526" spans="1:3" ht="14.25">
      <c r="A526" s="121" t="s">
        <v>527</v>
      </c>
      <c r="B526" s="169">
        <f>'54'!I10</f>
        <v>-0.23449899045027678</v>
      </c>
      <c r="C526" s="163">
        <v>54</v>
      </c>
    </row>
    <row r="527" spans="1:3" ht="14.25">
      <c r="A527" s="186" t="s">
        <v>1188</v>
      </c>
      <c r="B527" s="169">
        <f>'142'!I7</f>
        <v>94.34913640449486</v>
      </c>
      <c r="C527" s="163">
        <v>142</v>
      </c>
    </row>
    <row r="528" spans="1:3" ht="14.25">
      <c r="A528" s="121" t="s">
        <v>197</v>
      </c>
      <c r="B528" s="169">
        <f>'23'!G15+'30'!G6+'56'!I8</f>
        <v>-0.311104782440907</v>
      </c>
      <c r="C528" s="163" t="s">
        <v>546</v>
      </c>
    </row>
    <row r="529" spans="1:3" ht="14.25">
      <c r="A529" s="121" t="s">
        <v>198</v>
      </c>
      <c r="B529" s="169">
        <f>'15'!I12+'16(2)'!I13+'17'!I4+'18'!I5+'26'!G8+'33'!G14+'39'!G4+'48'!G6</f>
        <v>-0.172415802181888</v>
      </c>
      <c r="C529" s="163" t="s">
        <v>476</v>
      </c>
    </row>
    <row r="530" spans="1:3" ht="14.25">
      <c r="A530" s="121" t="s">
        <v>807</v>
      </c>
      <c r="B530" s="169">
        <f>'89'!I15</f>
        <v>-0.3210444309393097</v>
      </c>
      <c r="C530" s="163">
        <v>89</v>
      </c>
    </row>
    <row r="531" spans="1:3" ht="14.25">
      <c r="A531" s="121" t="s">
        <v>543</v>
      </c>
      <c r="B531" s="169">
        <f>'56'!I9</f>
        <v>0.18574615264799377</v>
      </c>
      <c r="C531" s="163">
        <v>56</v>
      </c>
    </row>
    <row r="532" spans="1:3" ht="14.25">
      <c r="A532" s="121" t="s">
        <v>857</v>
      </c>
      <c r="B532" s="169">
        <f>'97'!I10+'104'!I9+'127'!I12</f>
        <v>-21.462602397847718</v>
      </c>
      <c r="C532" s="163" t="s">
        <v>1073</v>
      </c>
    </row>
    <row r="533" spans="1:3" ht="14.25">
      <c r="A533" s="121" t="s">
        <v>619</v>
      </c>
      <c r="B533" s="169">
        <f>'64'!I14+'67'!I12+'79'!I12+'87'!I5</f>
        <v>-0.12698388812123085</v>
      </c>
      <c r="C533" s="163" t="s">
        <v>790</v>
      </c>
    </row>
    <row r="534" spans="1:3" ht="14.25">
      <c r="A534" s="187" t="s">
        <v>1000</v>
      </c>
      <c r="B534" s="169">
        <f>'119'!I5</f>
        <v>13.3002846416382</v>
      </c>
      <c r="C534" s="163">
        <v>119</v>
      </c>
    </row>
    <row r="535" spans="1:3" ht="14.25">
      <c r="A535" s="121" t="s">
        <v>199</v>
      </c>
      <c r="B535" s="169">
        <f>'24'!G12</f>
        <v>-0.0055381148233664135</v>
      </c>
      <c r="C535" s="163">
        <v>24</v>
      </c>
    </row>
    <row r="536" spans="1:3" ht="14.25">
      <c r="A536" s="201" t="s">
        <v>1252</v>
      </c>
      <c r="B536" s="169">
        <f>'149'!I4</f>
        <v>-2.363856602501187</v>
      </c>
      <c r="C536" s="163">
        <v>149</v>
      </c>
    </row>
    <row r="537" spans="1:3" ht="14.25">
      <c r="A537" s="121" t="s">
        <v>578</v>
      </c>
      <c r="B537" s="169">
        <f>'60'!I11</f>
        <v>-0.17973786885238496</v>
      </c>
      <c r="C537" s="163">
        <v>60</v>
      </c>
    </row>
    <row r="538" spans="1:3" ht="14.25">
      <c r="A538" s="189" t="s">
        <v>200</v>
      </c>
      <c r="B538" s="169">
        <f>'36'!G13+'49'!G7</f>
        <v>0.18773320499064994</v>
      </c>
      <c r="C538" s="163" t="s">
        <v>483</v>
      </c>
    </row>
    <row r="539" spans="1:3" ht="14.25">
      <c r="A539" s="186" t="s">
        <v>1150</v>
      </c>
      <c r="B539" s="169">
        <f>'137'!I11</f>
        <v>1.3864165742793375</v>
      </c>
      <c r="C539" s="163">
        <v>137</v>
      </c>
    </row>
    <row r="540" spans="1:3" ht="14.25">
      <c r="A540" s="186" t="s">
        <v>587</v>
      </c>
      <c r="B540" s="169">
        <f>'61'!I10+'68'!I7+'70'!I15+'129'!I16+'131'!I9+'135'!I12</f>
        <v>8.74823589734001</v>
      </c>
      <c r="C540" s="163" t="s">
        <v>1134</v>
      </c>
    </row>
    <row r="541" spans="1:3" ht="14.25">
      <c r="A541" s="186" t="s">
        <v>1221</v>
      </c>
      <c r="B541" s="169">
        <f>'146'!I10</f>
        <v>8.7550659561403</v>
      </c>
      <c r="C541" s="163">
        <v>146</v>
      </c>
    </row>
    <row r="542" spans="1:3" ht="14.25">
      <c r="A542" s="121" t="s">
        <v>926</v>
      </c>
      <c r="B542" s="169">
        <f>'108'!I4</f>
        <v>-3.6667948610516987</v>
      </c>
      <c r="C542" s="163">
        <v>108</v>
      </c>
    </row>
    <row r="543" spans="1:3" ht="14.25">
      <c r="A543" s="121" t="s">
        <v>201</v>
      </c>
      <c r="B543" s="169">
        <f>8!I8+9!I5+'11'!I8+'13'!I11+'18'!I7+'19'!I20+'27'!G11+'36'!G9+'40'!G13</f>
        <v>73.94627971089193</v>
      </c>
      <c r="C543" s="163" t="s">
        <v>411</v>
      </c>
    </row>
    <row r="544" spans="1:3" ht="14.25">
      <c r="A544" s="121" t="s">
        <v>202</v>
      </c>
      <c r="B544" s="169">
        <f>'15'!I8</f>
        <v>6.533738024480044</v>
      </c>
      <c r="C544" s="163">
        <v>15</v>
      </c>
    </row>
    <row r="545" spans="1:3" ht="14.25">
      <c r="A545" s="186" t="s">
        <v>203</v>
      </c>
      <c r="B545" s="169">
        <f>3!I8+'12'!I8+'17'!I13+'122'!I7</f>
        <v>-5.532043538753328</v>
      </c>
      <c r="C545" s="163" t="s">
        <v>1027</v>
      </c>
    </row>
    <row r="546" spans="1:3" ht="14.25">
      <c r="A546" s="121" t="s">
        <v>204</v>
      </c>
      <c r="B546" s="169">
        <f>'29(2)'!G10</f>
        <v>0.1805181593334737</v>
      </c>
      <c r="C546" s="163" t="s">
        <v>69</v>
      </c>
    </row>
  </sheetData>
  <sheetProtection selectLockedCells="1" selectUnlockedCells="1"/>
  <hyperlinks>
    <hyperlink ref="A27" r:id="rId1" display="An@stasia"/>
    <hyperlink ref="A131" r:id="rId2" display="Irch@"/>
    <hyperlink ref="A490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41305</v>
      </c>
      <c r="C1" s="10"/>
      <c r="D1" s="11" t="s">
        <v>206</v>
      </c>
      <c r="E1" s="12">
        <v>41.48</v>
      </c>
      <c r="G1" s="8" t="s">
        <v>207</v>
      </c>
    </row>
    <row r="2" s="8" customFormat="1" ht="23.25" customHeight="1">
      <c r="A2" s="33" t="s">
        <v>238</v>
      </c>
    </row>
    <row r="3" spans="1:9" s="15" customFormat="1" ht="57.7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42501</v>
      </c>
      <c r="C1" s="10"/>
      <c r="D1" s="10"/>
      <c r="E1" s="10"/>
      <c r="F1" s="11" t="s">
        <v>206</v>
      </c>
      <c r="G1" s="106">
        <v>76.11</v>
      </c>
      <c r="H1" s="8" t="s">
        <v>207</v>
      </c>
    </row>
    <row r="2" s="8" customFormat="1" ht="23.25" customHeight="1">
      <c r="A2" s="33" t="s">
        <v>865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866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867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868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556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503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729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869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739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224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42509</v>
      </c>
      <c r="C1" s="10"/>
      <c r="D1" s="10"/>
      <c r="E1" s="10"/>
      <c r="F1" s="11" t="s">
        <v>206</v>
      </c>
      <c r="G1" s="106">
        <v>76.47</v>
      </c>
      <c r="H1" s="8" t="s">
        <v>207</v>
      </c>
    </row>
    <row r="2" s="8" customFormat="1" ht="23.25" customHeight="1">
      <c r="A2" s="33" t="s">
        <v>871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544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614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873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874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875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519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872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822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224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486</v>
      </c>
    </row>
    <row r="18" spans="1:2" ht="30.75">
      <c r="A18" s="117" t="s">
        <v>822</v>
      </c>
      <c r="B18" s="141" t="s">
        <v>876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42515</v>
      </c>
      <c r="C1" s="10"/>
      <c r="D1" s="10"/>
      <c r="E1" s="10"/>
      <c r="F1" s="11" t="s">
        <v>206</v>
      </c>
      <c r="G1" s="106">
        <v>75.83</v>
      </c>
      <c r="H1" s="8" t="s">
        <v>207</v>
      </c>
    </row>
    <row r="2" s="8" customFormat="1" ht="23.25" customHeight="1">
      <c r="A2" s="33" t="s">
        <v>878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418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174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224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42524</v>
      </c>
      <c r="C1" s="10"/>
      <c r="D1" s="10"/>
      <c r="E1" s="10"/>
      <c r="F1" s="11" t="s">
        <v>206</v>
      </c>
      <c r="G1" s="106">
        <v>76.16</v>
      </c>
      <c r="H1" s="8" t="s">
        <v>207</v>
      </c>
    </row>
    <row r="2" s="8" customFormat="1" ht="23.25" customHeight="1">
      <c r="A2" s="33" t="s">
        <v>879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118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880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881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882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883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600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584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224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42537</v>
      </c>
      <c r="C1" s="10"/>
      <c r="D1" s="10"/>
      <c r="E1" s="10"/>
      <c r="F1" s="11" t="s">
        <v>206</v>
      </c>
      <c r="G1" s="106">
        <v>75.782</v>
      </c>
      <c r="H1" s="8" t="s">
        <v>207</v>
      </c>
    </row>
    <row r="2" s="8" customFormat="1" ht="23.25" customHeight="1">
      <c r="A2" s="33" t="s">
        <v>886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888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155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889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745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890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118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102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722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95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224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205</v>
      </c>
      <c r="B1" s="10">
        <v>42550</v>
      </c>
      <c r="C1" s="10"/>
      <c r="D1" s="10"/>
      <c r="E1" s="10"/>
      <c r="F1" s="11" t="s">
        <v>206</v>
      </c>
      <c r="G1" s="106">
        <v>73.3</v>
      </c>
      <c r="H1" s="8" t="s">
        <v>207</v>
      </c>
    </row>
    <row r="2" s="8" customFormat="1" ht="23.25" customHeight="1">
      <c r="A2" s="33" t="s">
        <v>891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745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892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413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418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738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94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118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858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127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224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42564</v>
      </c>
      <c r="C1" s="10"/>
      <c r="D1" s="10"/>
      <c r="E1" s="10"/>
      <c r="F1" s="11" t="s">
        <v>206</v>
      </c>
      <c r="G1" s="106">
        <v>72.2</v>
      </c>
      <c r="H1" s="8" t="s">
        <v>207</v>
      </c>
      <c r="J1" s="154"/>
    </row>
    <row r="2" s="8" customFormat="1" ht="23.25" customHeight="1">
      <c r="A2" s="33" t="s">
        <v>894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786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102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118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895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896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857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897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836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607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418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675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693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548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42576</v>
      </c>
      <c r="C1" s="10"/>
      <c r="D1" s="10"/>
      <c r="E1" s="10"/>
      <c r="F1" s="11" t="s">
        <v>206</v>
      </c>
      <c r="G1" s="106">
        <v>75</v>
      </c>
      <c r="H1" s="8" t="s">
        <v>207</v>
      </c>
      <c r="J1" s="154"/>
    </row>
    <row r="2" s="8" customFormat="1" ht="23.25" customHeight="1">
      <c r="A2" s="33" t="s">
        <v>903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662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904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630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127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905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859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94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657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906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675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907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418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224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205</v>
      </c>
      <c r="B1" s="10">
        <v>42585</v>
      </c>
      <c r="C1" s="10"/>
      <c r="D1" s="10"/>
      <c r="E1" s="10"/>
      <c r="F1" s="11" t="s">
        <v>206</v>
      </c>
      <c r="G1" s="106">
        <v>75.02</v>
      </c>
      <c r="H1" s="8" t="s">
        <v>207</v>
      </c>
      <c r="J1" s="154"/>
    </row>
    <row r="2" s="8" customFormat="1" ht="23.25" customHeight="1">
      <c r="A2" s="33" t="s">
        <v>908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909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565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924</v>
      </c>
    </row>
    <row r="7" spans="1:9" s="15" customFormat="1" ht="14.25">
      <c r="A7" s="103" t="s">
        <v>910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911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912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923</v>
      </c>
    </row>
    <row r="10" spans="1:9" s="8" customFormat="1" ht="14.25">
      <c r="A10" s="104" t="s">
        <v>913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418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880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630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589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914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127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224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42597</v>
      </c>
      <c r="C1" s="10"/>
      <c r="D1" s="10"/>
      <c r="E1" s="10"/>
      <c r="F1" s="11" t="s">
        <v>206</v>
      </c>
      <c r="G1" s="106">
        <v>74.28</v>
      </c>
      <c r="H1" s="8" t="s">
        <v>207</v>
      </c>
      <c r="J1" s="154"/>
    </row>
    <row r="2" s="8" customFormat="1" ht="23.25" customHeight="1">
      <c r="A2" s="33" t="s">
        <v>916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127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918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418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496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917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919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874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224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922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41307</v>
      </c>
      <c r="C1" s="10"/>
      <c r="D1" s="11" t="s">
        <v>206</v>
      </c>
      <c r="E1" s="12">
        <v>41.74</v>
      </c>
      <c r="G1" s="8" t="s">
        <v>207</v>
      </c>
    </row>
    <row r="2" s="8" customFormat="1" ht="23.25" customHeight="1">
      <c r="A2" s="33"/>
    </row>
    <row r="3" spans="1:9" s="15" customFormat="1" ht="57.7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4.25">
      <c r="A4" s="4" t="s">
        <v>181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236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174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201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239</v>
      </c>
    </row>
    <row r="9" spans="1:9" s="8" customFormat="1" ht="15">
      <c r="A9" s="4" t="s">
        <v>111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188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224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42607</v>
      </c>
      <c r="C1" s="10"/>
      <c r="D1" s="10"/>
      <c r="E1" s="10"/>
      <c r="F1" s="11" t="s">
        <v>206</v>
      </c>
      <c r="G1" s="106">
        <v>74.98</v>
      </c>
      <c r="H1" s="8" t="s">
        <v>207</v>
      </c>
      <c r="J1" s="154"/>
    </row>
    <row r="2" s="8" customFormat="1" ht="23.25" customHeight="1">
      <c r="A2" s="33" t="s">
        <v>925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926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479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759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927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127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514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224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590</v>
      </c>
    </row>
    <row r="14" spans="1:2" ht="30.75">
      <c r="A14" s="117" t="s">
        <v>479</v>
      </c>
      <c r="B14" s="138" t="s">
        <v>928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922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42613</v>
      </c>
      <c r="C1" s="10"/>
      <c r="D1" s="10"/>
      <c r="E1" s="10"/>
      <c r="F1" s="11" t="s">
        <v>206</v>
      </c>
      <c r="G1" s="106">
        <v>75.67</v>
      </c>
      <c r="H1" s="8" t="s">
        <v>207</v>
      </c>
      <c r="J1" s="154"/>
    </row>
    <row r="2" s="8" customFormat="1" ht="23.25" customHeight="1">
      <c r="A2" s="33" t="s">
        <v>929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418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115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930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880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858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569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224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922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205</v>
      </c>
      <c r="B1" s="10">
        <v>42620</v>
      </c>
      <c r="C1" s="10"/>
      <c r="D1" s="10"/>
      <c r="E1" s="10"/>
      <c r="F1" s="11" t="s">
        <v>206</v>
      </c>
      <c r="G1" s="106">
        <v>74.23</v>
      </c>
      <c r="H1" s="8" t="s">
        <v>207</v>
      </c>
      <c r="J1" s="154"/>
    </row>
    <row r="2" s="8" customFormat="1" ht="23.25" customHeight="1">
      <c r="A2" s="33" t="s">
        <v>931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859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932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933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556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722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984</v>
      </c>
    </row>
    <row r="9" spans="1:9" s="15" customFormat="1" ht="14.25">
      <c r="A9" s="103" t="s">
        <v>115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512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224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922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42629</v>
      </c>
      <c r="C1" s="10"/>
      <c r="D1" s="10"/>
      <c r="E1" s="10"/>
      <c r="F1" s="11" t="s">
        <v>206</v>
      </c>
      <c r="G1" s="106">
        <f>74.33</f>
        <v>74.33</v>
      </c>
      <c r="H1" s="8" t="s">
        <v>207</v>
      </c>
      <c r="J1" s="154"/>
    </row>
    <row r="2" s="8" customFormat="1" ht="23.25" customHeight="1">
      <c r="A2" s="33" t="s">
        <v>934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94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935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936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763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224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922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205</v>
      </c>
      <c r="B1" s="10">
        <v>42635</v>
      </c>
      <c r="C1" s="10"/>
      <c r="D1" s="10"/>
      <c r="E1" s="10"/>
      <c r="F1" s="11" t="s">
        <v>206</v>
      </c>
      <c r="G1" s="106">
        <f>73.6</f>
        <v>73.6</v>
      </c>
      <c r="H1" s="8" t="s">
        <v>207</v>
      </c>
      <c r="J1" s="154"/>
    </row>
    <row r="2" s="8" customFormat="1" ht="23.25" customHeight="1">
      <c r="A2" s="33" t="s">
        <v>939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880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283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940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951</v>
      </c>
    </row>
    <row r="7" spans="1:9" s="8" customFormat="1" ht="14.25">
      <c r="A7" s="104" t="s">
        <v>168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630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608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418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941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224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922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205</v>
      </c>
      <c r="B1" s="10">
        <v>42643</v>
      </c>
      <c r="C1" s="10"/>
      <c r="D1" s="10"/>
      <c r="E1" s="10"/>
      <c r="F1" s="11" t="s">
        <v>206</v>
      </c>
      <c r="G1" s="106">
        <v>71.98</v>
      </c>
      <c r="H1" s="8" t="s">
        <v>207</v>
      </c>
      <c r="J1" s="154"/>
    </row>
    <row r="2" s="8" customFormat="1" ht="23.25" customHeight="1">
      <c r="A2" s="33" t="s">
        <v>944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859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935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945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514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946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418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947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948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918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127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596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134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949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548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224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42657</v>
      </c>
      <c r="C1" s="10"/>
      <c r="D1" s="10"/>
      <c r="E1" s="10"/>
      <c r="F1" s="11" t="s">
        <v>206</v>
      </c>
      <c r="G1" s="106">
        <v>71.42</v>
      </c>
      <c r="H1" s="8" t="s">
        <v>207</v>
      </c>
      <c r="J1" s="154"/>
    </row>
    <row r="2" s="8" customFormat="1" ht="14.25">
      <c r="A2" s="33" t="s">
        <v>952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856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953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190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954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955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127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956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957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746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580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224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42664</v>
      </c>
      <c r="C1" s="10"/>
      <c r="D1" s="10"/>
      <c r="E1" s="10"/>
      <c r="F1" s="11" t="s">
        <v>206</v>
      </c>
      <c r="G1" s="106">
        <v>69.33</v>
      </c>
      <c r="H1" s="8" t="s">
        <v>207</v>
      </c>
      <c r="J1" s="154"/>
    </row>
    <row r="2" s="8" customFormat="1" ht="14.25">
      <c r="A2" s="33" t="s">
        <v>962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963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964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630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519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693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965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416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918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848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966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418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822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967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254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224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42671</v>
      </c>
      <c r="C1" s="10"/>
      <c r="D1" s="10"/>
      <c r="E1" s="10"/>
      <c r="F1" s="11" t="s">
        <v>206</v>
      </c>
      <c r="G1" s="106">
        <v>71.23</v>
      </c>
      <c r="H1" s="8" t="s">
        <v>207</v>
      </c>
      <c r="J1" s="154"/>
    </row>
    <row r="2" s="8" customFormat="1" ht="14.25">
      <c r="A2" s="33" t="s">
        <v>969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447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880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859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970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508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858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631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95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971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155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384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972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814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224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42681</v>
      </c>
      <c r="C1" s="10"/>
      <c r="D1" s="10"/>
      <c r="E1" s="10"/>
      <c r="F1" s="11" t="s">
        <v>206</v>
      </c>
      <c r="G1" s="106">
        <v>72.483</v>
      </c>
      <c r="H1" s="8" t="s">
        <v>207</v>
      </c>
      <c r="J1" s="154"/>
    </row>
    <row r="2" s="8" customFormat="1" ht="14.25">
      <c r="A2" s="33" t="s">
        <v>977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384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972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985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986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978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354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652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630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155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576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987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4.25">
      <c r="A15" s="103" t="s">
        <v>127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722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102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988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562</v>
      </c>
    </row>
    <row r="25" spans="1:2" ht="30.75">
      <c r="A25" s="117" t="s">
        <v>978</v>
      </c>
      <c r="B25" s="141" t="s">
        <v>979</v>
      </c>
    </row>
    <row r="26" spans="1:2" ht="30.75">
      <c r="A26" s="117" t="s">
        <v>354</v>
      </c>
      <c r="B26" s="141" t="s">
        <v>980</v>
      </c>
    </row>
    <row r="27" spans="1:2" ht="30.75">
      <c r="A27" s="117" t="s">
        <v>981</v>
      </c>
      <c r="B27" s="141" t="s">
        <v>456</v>
      </c>
    </row>
    <row r="28" spans="1:2" ht="30.75">
      <c r="A28" s="117" t="s">
        <v>982</v>
      </c>
      <c r="B28" s="141" t="s">
        <v>983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41334</v>
      </c>
      <c r="C1" s="10"/>
      <c r="D1" s="11" t="s">
        <v>206</v>
      </c>
      <c r="E1" s="12">
        <f>40.83</f>
        <v>40.83</v>
      </c>
      <c r="G1" s="8" t="s">
        <v>207</v>
      </c>
    </row>
    <row r="2" s="8" customFormat="1" ht="23.25" customHeight="1">
      <c r="A2" s="33"/>
    </row>
    <row r="3" spans="1:9" s="15" customFormat="1" ht="57.7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203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111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240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174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241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152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166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242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42688</v>
      </c>
      <c r="C1" s="10"/>
      <c r="D1" s="10"/>
      <c r="E1" s="10"/>
      <c r="F1" s="11" t="s">
        <v>206</v>
      </c>
      <c r="G1" s="106">
        <v>71.572</v>
      </c>
      <c r="H1" s="8" t="s">
        <v>207</v>
      </c>
      <c r="J1" s="154"/>
    </row>
    <row r="2" s="8" customFormat="1" ht="14.25">
      <c r="A2" s="33" t="s">
        <v>992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993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935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127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126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994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133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354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868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858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774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224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205</v>
      </c>
      <c r="B1" s="10">
        <v>42704</v>
      </c>
      <c r="C1" s="10"/>
      <c r="D1" s="10"/>
      <c r="E1" s="10"/>
      <c r="F1" s="11" t="s">
        <v>206</v>
      </c>
      <c r="G1" s="106">
        <v>69.64</v>
      </c>
      <c r="H1" s="8" t="s">
        <v>207</v>
      </c>
      <c r="J1" s="154"/>
    </row>
    <row r="2" s="8" customFormat="1" ht="14.25">
      <c r="A2" s="33" t="s">
        <v>998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918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1000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1001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1002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630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115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1003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1004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978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556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1005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812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1009</v>
      </c>
    </row>
    <row r="16" spans="1:9" s="8" customFormat="1" ht="14.25">
      <c r="A16" s="104" t="s">
        <v>739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580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1006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1007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254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956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224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887</v>
      </c>
    </row>
    <row r="26" ht="28.5">
      <c r="A26" s="107" t="s">
        <v>999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205</v>
      </c>
      <c r="B1" s="10">
        <v>42704</v>
      </c>
      <c r="C1" s="10"/>
      <c r="D1" s="10"/>
      <c r="E1" s="10"/>
      <c r="F1" s="11" t="s">
        <v>206</v>
      </c>
      <c r="G1" s="106">
        <v>69.64</v>
      </c>
      <c r="H1" s="8" t="s">
        <v>207</v>
      </c>
      <c r="J1" s="154"/>
    </row>
    <row r="2" s="8" customFormat="1" ht="14.25">
      <c r="A2" s="33" t="s">
        <v>998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126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738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1008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734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14.25">
      <c r="A8" s="103" t="s">
        <v>932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1029</v>
      </c>
    </row>
    <row r="9" spans="1:10" s="15" customFormat="1" ht="14.25">
      <c r="A9" s="103" t="s">
        <v>774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1037</v>
      </c>
    </row>
    <row r="10" spans="1:10" s="8" customFormat="1" ht="14.25">
      <c r="A10" s="103" t="s">
        <v>224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887</v>
      </c>
    </row>
    <row r="17" ht="28.5">
      <c r="A17" s="107" t="s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205</v>
      </c>
      <c r="B1" s="10">
        <v>42711</v>
      </c>
      <c r="C1" s="10"/>
      <c r="D1" s="10"/>
      <c r="E1" s="10"/>
      <c r="F1" s="11" t="s">
        <v>206</v>
      </c>
      <c r="G1" s="106">
        <v>70.514</v>
      </c>
      <c r="H1" s="8" t="s">
        <v>207</v>
      </c>
      <c r="J1" s="154"/>
    </row>
    <row r="2" s="8" customFormat="1" ht="14.25">
      <c r="A2" s="33" t="s">
        <v>1016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418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4.25">
      <c r="A5" s="103" t="s">
        <v>981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4.25">
      <c r="A6" s="103" t="s">
        <v>1017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4.25">
      <c r="A8" s="103" t="s">
        <v>1004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4.25">
      <c r="A9" s="103" t="s">
        <v>858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4.25">
      <c r="A10" s="103" t="s">
        <v>692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4.25">
      <c r="A11" s="103" t="s">
        <v>512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4.25">
      <c r="A12" s="103" t="s">
        <v>224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42718</v>
      </c>
      <c r="C1" s="10"/>
      <c r="D1" s="10"/>
      <c r="E1" s="10"/>
      <c r="F1" s="11" t="s">
        <v>206</v>
      </c>
      <c r="G1" s="106">
        <v>66.31</v>
      </c>
      <c r="H1" s="8" t="s">
        <v>207</v>
      </c>
      <c r="J1" s="154"/>
    </row>
    <row r="2" s="8" customFormat="1" ht="14.25">
      <c r="A2" s="33" t="s">
        <v>1021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418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4.25">
      <c r="A5" s="103" t="s">
        <v>102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4.25">
      <c r="A6" s="103" t="s">
        <v>1022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4.25">
      <c r="A7" s="104" t="s">
        <v>203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4.25">
      <c r="A8" s="103" t="s">
        <v>1023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4.25">
      <c r="A9" s="103" t="s">
        <v>1024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4.2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4.25">
      <c r="A11" s="103" t="s">
        <v>1025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4.25">
      <c r="A12" s="103" t="s">
        <v>1026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4.25">
      <c r="A13" s="103" t="s">
        <v>946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4.25">
      <c r="A14" s="103" t="s">
        <v>224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205</v>
      </c>
      <c r="B1" s="10">
        <v>42727</v>
      </c>
      <c r="C1" s="10"/>
      <c r="D1" s="10"/>
      <c r="E1" s="10"/>
      <c r="F1" s="11" t="s">
        <v>206</v>
      </c>
      <c r="G1" s="106">
        <v>65.32</v>
      </c>
      <c r="H1" s="8" t="s">
        <v>207</v>
      </c>
      <c r="J1" s="154"/>
    </row>
    <row r="2" s="8" customFormat="1" ht="14.25">
      <c r="A2" s="33" t="s">
        <v>1030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1032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4.25">
      <c r="A5" s="103" t="s">
        <v>729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4.25">
      <c r="A6" s="103" t="s">
        <v>1033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1049</v>
      </c>
    </row>
    <row r="7" spans="1:9" s="8" customFormat="1" ht="14.25">
      <c r="A7" s="104" t="s">
        <v>779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4.25">
      <c r="A8" s="103" t="s">
        <v>127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4.25">
      <c r="A9" s="103" t="s">
        <v>1026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4.25">
      <c r="A10" s="103" t="s">
        <v>693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4.25">
      <c r="A11" s="103" t="s">
        <v>1034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4.25">
      <c r="A12" s="103" t="s">
        <v>1035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4.25">
      <c r="A13" s="103" t="s">
        <v>224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887</v>
      </c>
    </row>
    <row r="20" ht="28.5">
      <c r="A20" s="107" t="s">
        <v>1031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42745</v>
      </c>
      <c r="C1" s="10"/>
      <c r="D1" s="10"/>
      <c r="E1" s="10"/>
      <c r="F1" s="11" t="s">
        <v>206</v>
      </c>
      <c r="G1" s="106">
        <v>64.8</v>
      </c>
      <c r="H1" s="8" t="s">
        <v>207</v>
      </c>
      <c r="J1" s="154"/>
    </row>
    <row r="2" s="8" customFormat="1" ht="14.25">
      <c r="A2" s="33" t="s">
        <v>1038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418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4.25">
      <c r="A5" s="103" t="s">
        <v>823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4.2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4.25">
      <c r="A7" s="104" t="s">
        <v>95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4.25">
      <c r="A8" s="103" t="s">
        <v>1040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4.25">
      <c r="A9" s="103" t="s">
        <v>795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4.25">
      <c r="A10" s="103" t="s">
        <v>625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4.25">
      <c r="A11" s="103" t="s">
        <v>579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4.25">
      <c r="A12" s="103" t="s">
        <v>1041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4.25">
      <c r="A13" s="103" t="s">
        <v>600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4.25">
      <c r="A14" s="103" t="s">
        <v>1042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4.25">
      <c r="A15" s="103" t="s">
        <v>1023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4.25">
      <c r="A16" s="103" t="s">
        <v>174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4.25">
      <c r="A17" s="103" t="s">
        <v>127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4.25">
      <c r="A18" s="103" t="s">
        <v>1043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4.25">
      <c r="A19" s="103" t="s">
        <v>224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887</v>
      </c>
    </row>
    <row r="26" ht="28.5">
      <c r="A26" s="107" t="s">
        <v>1039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42753</v>
      </c>
      <c r="C1" s="10"/>
      <c r="D1" s="10"/>
      <c r="E1" s="10"/>
      <c r="F1" s="11" t="s">
        <v>206</v>
      </c>
      <c r="G1" s="106">
        <v>65.51</v>
      </c>
      <c r="H1" s="8" t="s">
        <v>207</v>
      </c>
      <c r="J1" s="154"/>
    </row>
    <row r="2" s="8" customFormat="1" ht="14.25">
      <c r="A2" s="33"/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1042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4.2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4.25">
      <c r="A6" s="103" t="s">
        <v>174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4.25">
      <c r="A7" s="104" t="s">
        <v>597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1080</v>
      </c>
    </row>
    <row r="8" spans="1:9" s="15" customFormat="1" ht="14.25">
      <c r="A8" s="103" t="s">
        <v>127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4.25">
      <c r="A9" s="103" t="s">
        <v>1051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4.25">
      <c r="A10" s="103" t="s">
        <v>585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4.25">
      <c r="A11" s="103" t="s">
        <v>1052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4.25">
      <c r="A12" s="103" t="s">
        <v>1053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4.25">
      <c r="A13" s="103" t="s">
        <v>1054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4.25">
      <c r="A14" s="103" t="s">
        <v>1055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4.25">
      <c r="A15" s="103" t="s">
        <v>1056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4.25">
      <c r="A16" s="103" t="s">
        <v>822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4.25">
      <c r="A17" s="103" t="s">
        <v>514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4.25">
      <c r="A18" s="103" t="s">
        <v>662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4.25">
      <c r="A19" s="103" t="s">
        <v>1026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4.25">
      <c r="A20" s="103" t="s">
        <v>949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4.25">
      <c r="A21" s="103" t="s">
        <v>714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4.25">
      <c r="A22" s="103" t="s">
        <v>224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887</v>
      </c>
    </row>
    <row r="29" ht="28.5">
      <c r="A29" s="107" t="s">
        <v>1050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42761</v>
      </c>
      <c r="C1" s="10"/>
      <c r="D1" s="10"/>
      <c r="E1" s="10"/>
      <c r="F1" s="11" t="s">
        <v>206</v>
      </c>
      <c r="G1" s="106">
        <v>66.314</v>
      </c>
      <c r="H1" s="8" t="s">
        <v>207</v>
      </c>
      <c r="J1" s="154"/>
    </row>
    <row r="2" s="8" customFormat="1" ht="14.25">
      <c r="A2" s="33" t="s">
        <v>1061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418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4.25">
      <c r="A5" s="103" t="s">
        <v>1062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4.25">
      <c r="A6" s="103" t="s">
        <v>1063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4.25">
      <c r="A7" s="104" t="s">
        <v>490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4.25">
      <c r="A8" s="103" t="s">
        <v>779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4.25">
      <c r="A9" s="103" t="s">
        <v>1064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4.25">
      <c r="A10" s="103" t="s">
        <v>514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4.25">
      <c r="A11" s="103" t="s">
        <v>174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4.25">
      <c r="A12" s="103" t="s">
        <v>1056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4.25">
      <c r="A13" s="103" t="s">
        <v>1065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4.25">
      <c r="A14" s="103" t="s">
        <v>127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4.25">
      <c r="A15" s="103" t="s">
        <v>1066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4.25">
      <c r="A16" s="103" t="s">
        <v>224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42767</v>
      </c>
      <c r="C1" s="10"/>
      <c r="D1" s="10"/>
      <c r="E1" s="10"/>
      <c r="F1" s="11" t="s">
        <v>206</v>
      </c>
      <c r="G1" s="106">
        <v>65.85</v>
      </c>
      <c r="H1" s="8" t="s">
        <v>207</v>
      </c>
      <c r="J1" s="154"/>
    </row>
    <row r="2" s="8" customFormat="1" ht="14.25">
      <c r="A2" s="33" t="s">
        <v>1068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426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4.25">
      <c r="A5" s="103" t="s">
        <v>599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4.25">
      <c r="A6" s="103" t="s">
        <v>1069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4.25">
      <c r="A7" s="104" t="s">
        <v>987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4.25">
      <c r="A8" s="103" t="s">
        <v>1070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4.25">
      <c r="A9" s="103" t="s">
        <v>607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4.25">
      <c r="A10" s="103" t="s">
        <v>406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4.25">
      <c r="A11" s="103" t="s">
        <v>96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4.25">
      <c r="A12" s="103" t="s">
        <v>857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4.25">
      <c r="A13" s="103" t="s">
        <v>224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41349</v>
      </c>
      <c r="C1" s="10"/>
      <c r="D1" s="11" t="s">
        <v>206</v>
      </c>
      <c r="E1" s="12">
        <f>40.96</f>
        <v>40.96</v>
      </c>
      <c r="G1" s="8" t="s">
        <v>207</v>
      </c>
    </row>
    <row r="2" s="8" customFormat="1" ht="23.25" customHeight="1">
      <c r="A2" s="33" t="s">
        <v>243</v>
      </c>
    </row>
    <row r="3" spans="1:9" s="15" customFormat="1" ht="57.7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176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143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138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236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201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175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121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187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224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205</v>
      </c>
      <c r="B1" s="10">
        <v>42775</v>
      </c>
      <c r="C1" s="10"/>
      <c r="D1" s="10"/>
      <c r="E1" s="10"/>
      <c r="F1" s="11" t="s">
        <v>206</v>
      </c>
      <c r="G1" s="106">
        <v>64.351</v>
      </c>
      <c r="H1" s="8" t="s">
        <v>207</v>
      </c>
      <c r="J1" s="154"/>
    </row>
    <row r="2" s="8" customFormat="1" ht="14.25">
      <c r="A2" s="33" t="s">
        <v>1074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418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4.2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4.25">
      <c r="A7" s="104" t="s">
        <v>652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4.25">
      <c r="A8" s="103" t="s">
        <v>585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4.25">
      <c r="A9" s="103" t="s">
        <v>1075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4.25">
      <c r="A10" s="103" t="s">
        <v>1066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28.5">
      <c r="A11" s="103" t="s">
        <v>1076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1089</v>
      </c>
    </row>
    <row r="12" spans="1:10" s="8" customFormat="1" ht="14.25">
      <c r="A12" s="103" t="s">
        <v>224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42787</v>
      </c>
      <c r="C1" s="10"/>
      <c r="D1" s="10"/>
      <c r="E1" s="10"/>
      <c r="F1" s="11" t="s">
        <v>206</v>
      </c>
      <c r="G1" s="106">
        <v>62.45</v>
      </c>
      <c r="H1" s="8" t="s">
        <v>207</v>
      </c>
      <c r="J1" s="154"/>
    </row>
    <row r="2" s="8" customFormat="1" ht="14.25">
      <c r="A2" s="33" t="s">
        <v>1081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453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4.25">
      <c r="A5" s="103" t="s">
        <v>1082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4.25">
      <c r="A6" s="103" t="s">
        <v>675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4.25">
      <c r="A7" s="104" t="s">
        <v>897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4.25">
      <c r="A8" s="103" t="s">
        <v>614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4.25">
      <c r="A9" s="103" t="s">
        <v>550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4.25">
      <c r="A10" s="103" t="s">
        <v>1083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4.25">
      <c r="A11" s="103" t="s">
        <v>848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4.25">
      <c r="A12" s="103" t="s">
        <v>1084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4.25">
      <c r="A13" s="103" t="s">
        <v>662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4.25">
      <c r="A14" s="103" t="s">
        <v>560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4.25">
      <c r="A15" s="103" t="s">
        <v>174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4.25">
      <c r="A16" s="103" t="s">
        <v>587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4.25">
      <c r="A17" s="103" t="s">
        <v>1085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4.25">
      <c r="A18" s="103" t="s">
        <v>224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42796</v>
      </c>
      <c r="C1" s="10"/>
      <c r="D1" s="10"/>
      <c r="E1" s="10"/>
      <c r="F1" s="11" t="s">
        <v>206</v>
      </c>
      <c r="G1" s="106">
        <v>63.733</v>
      </c>
      <c r="H1" s="8" t="s">
        <v>207</v>
      </c>
      <c r="J1" s="154"/>
    </row>
    <row r="2" s="8" customFormat="1" ht="14.25">
      <c r="A2" s="33" t="s">
        <v>1090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418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4.25">
      <c r="A5" s="103" t="s">
        <v>963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4.2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4.25">
      <c r="A7" s="104" t="s">
        <v>1091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4.25">
      <c r="A8" s="103" t="s">
        <v>1092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4.25">
      <c r="A9" s="103" t="s">
        <v>630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4.25">
      <c r="A10" s="103" t="s">
        <v>96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4.25">
      <c r="A11" s="103" t="s">
        <v>1032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4.25">
      <c r="A12" s="103" t="s">
        <v>1093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4.25">
      <c r="A13" s="103" t="s">
        <v>652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4.25">
      <c r="A14" s="103" t="s">
        <v>140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4.25">
      <c r="A15" s="103" t="s">
        <v>224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42808</v>
      </c>
      <c r="C1" s="10"/>
      <c r="D1" s="10"/>
      <c r="E1" s="10"/>
      <c r="F1" s="11" t="s">
        <v>206</v>
      </c>
      <c r="G1" s="106">
        <v>64.613</v>
      </c>
      <c r="H1" s="8" t="s">
        <v>207</v>
      </c>
      <c r="J1" s="154"/>
    </row>
    <row r="2" s="8" customFormat="1" ht="14.25">
      <c r="A2" s="33" t="s">
        <v>1096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254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4.25">
      <c r="A5" s="103" t="s">
        <v>848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4.25">
      <c r="A6" s="103" t="s">
        <v>911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4.25">
      <c r="A7" s="104" t="s">
        <v>1097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4.25">
      <c r="A8" s="103" t="s">
        <v>115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4.25">
      <c r="A9" s="103" t="s">
        <v>587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4.25">
      <c r="A10" s="103" t="s">
        <v>932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4.25">
      <c r="A11" s="103" t="s">
        <v>1098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4.25">
      <c r="A12" s="103" t="s">
        <v>418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4.25">
      <c r="A13" s="103" t="s">
        <v>1099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4.25">
      <c r="A14" s="103" t="s">
        <v>630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1.25">
      <c r="A15" s="103" t="s">
        <v>1042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1117</v>
      </c>
    </row>
    <row r="16" spans="1:9" s="15" customFormat="1" ht="14.25">
      <c r="A16" s="103" t="s">
        <v>580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4.25">
      <c r="A17" s="103" t="s">
        <v>188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4.25">
      <c r="A18" s="103" t="s">
        <v>703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4.25">
      <c r="A19" s="103" t="s">
        <v>739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4.25">
      <c r="A20" s="103" t="s">
        <v>224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4.2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42815</v>
      </c>
      <c r="C1" s="10"/>
      <c r="D1" s="10"/>
      <c r="E1" s="10"/>
      <c r="F1" s="11" t="s">
        <v>206</v>
      </c>
      <c r="G1" s="106">
        <v>63.92</v>
      </c>
      <c r="H1" s="8" t="s">
        <v>207</v>
      </c>
      <c r="J1" s="154"/>
    </row>
    <row r="2" s="8" customFormat="1" ht="14.25">
      <c r="A2" s="33" t="s">
        <v>1103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1104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4.25">
      <c r="A5" s="103" t="s">
        <v>283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4.25">
      <c r="A6" s="103" t="s">
        <v>585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4.25">
      <c r="A7" s="104" t="s">
        <v>880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4.25">
      <c r="A8" s="103" t="s">
        <v>745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4.25">
      <c r="A9" s="103" t="s">
        <v>384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4.25">
      <c r="A10" s="103" t="s">
        <v>514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4.25">
      <c r="A11" s="103" t="s">
        <v>115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4.25">
      <c r="A12" s="103" t="s">
        <v>525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4.25">
      <c r="A13" s="103" t="s">
        <v>589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4.25">
      <c r="A14" s="103" t="s">
        <v>905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4.25">
      <c r="A15" s="103" t="s">
        <v>963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4.25">
      <c r="A16" s="103" t="s">
        <v>174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4.25">
      <c r="A17" s="103" t="s">
        <v>1092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4.25">
      <c r="A18" s="103" t="s">
        <v>224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42822</v>
      </c>
      <c r="C1" s="10"/>
      <c r="D1" s="10"/>
      <c r="E1" s="10"/>
      <c r="F1" s="11" t="s">
        <v>206</v>
      </c>
      <c r="G1" s="106">
        <f>61.392</f>
        <v>61.392</v>
      </c>
      <c r="H1" s="8" t="s">
        <v>207</v>
      </c>
      <c r="J1" s="154"/>
    </row>
    <row r="2" s="8" customFormat="1" ht="14.25">
      <c r="A2" s="33" t="s">
        <v>1114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174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4.25">
      <c r="A5" s="103" t="s">
        <v>548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4.25">
      <c r="A6" s="103" t="s">
        <v>880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4.25">
      <c r="A7" s="104" t="s">
        <v>1115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4.25">
      <c r="A8" s="103" t="s">
        <v>155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4.25">
      <c r="A9" s="103" t="s">
        <v>115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4.25">
      <c r="A10" s="103" t="s">
        <v>1116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4.25">
      <c r="A11" s="103" t="s">
        <v>224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42830</v>
      </c>
      <c r="C1" s="10"/>
      <c r="D1" s="10"/>
      <c r="E1" s="10"/>
      <c r="F1" s="11" t="s">
        <v>206</v>
      </c>
      <c r="G1" s="106">
        <v>62.34</v>
      </c>
      <c r="H1" s="8" t="s">
        <v>207</v>
      </c>
      <c r="J1" s="154"/>
    </row>
    <row r="2" s="8" customFormat="1" ht="14.25">
      <c r="A2" s="33" t="s">
        <v>1118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985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4.25">
      <c r="A5" s="103" t="s">
        <v>1119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4.25">
      <c r="A6" s="103" t="s">
        <v>1120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4.25">
      <c r="A7" s="104" t="s">
        <v>155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4.25">
      <c r="A8" s="103" t="s">
        <v>1098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4.25">
      <c r="A9" s="103" t="s">
        <v>1121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4.25">
      <c r="A10" s="103" t="s">
        <v>1122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4.25">
      <c r="A11" s="103" t="s">
        <v>1123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4.25">
      <c r="A12" s="103" t="s">
        <v>662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4.25">
      <c r="A13" s="103" t="s">
        <v>1124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4.25">
      <c r="A14" s="103" t="s">
        <v>994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4.25">
      <c r="A15" s="103" t="s">
        <v>418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4.25">
      <c r="A16" s="103" t="s">
        <v>224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42838</v>
      </c>
      <c r="C1" s="10"/>
      <c r="D1" s="10"/>
      <c r="E1" s="10"/>
      <c r="F1" s="11" t="s">
        <v>206</v>
      </c>
      <c r="G1" s="106">
        <v>61.62</v>
      </c>
      <c r="H1" s="8" t="s">
        <v>207</v>
      </c>
      <c r="J1" s="154"/>
    </row>
    <row r="2" s="8" customFormat="1" ht="14.25">
      <c r="A2" s="33" t="s">
        <v>1128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1129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4.25">
      <c r="A5" s="103" t="s">
        <v>1026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4.25">
      <c r="A6" s="103" t="s">
        <v>548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4.25">
      <c r="A7" s="104" t="s">
        <v>354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4.25">
      <c r="A8" s="103" t="s">
        <v>1130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4.25">
      <c r="A9" s="103" t="s">
        <v>1131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4.25">
      <c r="A10" s="103" t="s">
        <v>126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4.25">
      <c r="A11" s="103" t="s">
        <v>630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4.25">
      <c r="A12" s="103" t="s">
        <v>587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4.25">
      <c r="A13" s="103" t="s">
        <v>1132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4.25">
      <c r="A14" s="103" t="s">
        <v>1133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4.25">
      <c r="A15" s="103" t="s">
        <v>178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4.25">
      <c r="A16" s="103" t="s">
        <v>254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4.25">
      <c r="A17" s="103" t="s">
        <v>115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4.25">
      <c r="A18" s="103" t="s">
        <v>174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4.25">
      <c r="A19" s="103" t="s">
        <v>224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42845</v>
      </c>
      <c r="C1" s="10"/>
      <c r="D1" s="10"/>
      <c r="E1" s="10"/>
      <c r="F1" s="11" t="s">
        <v>206</v>
      </c>
      <c r="G1" s="106">
        <v>62.13</v>
      </c>
      <c r="H1" s="8" t="s">
        <v>207</v>
      </c>
      <c r="J1" s="154"/>
    </row>
    <row r="2" s="8" customFormat="1" ht="14.25">
      <c r="A2" s="33" t="s">
        <v>1138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145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4.25">
      <c r="A5" s="103" t="s">
        <v>779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4.25">
      <c r="A6" s="103" t="s">
        <v>74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4.25">
      <c r="A7" s="104" t="s">
        <v>1139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4.25">
      <c r="A8" s="103" t="s">
        <v>918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4.25">
      <c r="A9" s="103" t="s">
        <v>956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4.25">
      <c r="A10" s="103" t="s">
        <v>330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4.25">
      <c r="A11" s="103" t="s">
        <v>723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4.25">
      <c r="A12" s="103" t="s">
        <v>127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4.25">
      <c r="A13" s="103" t="s">
        <v>880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4.25">
      <c r="A14" s="103" t="s">
        <v>1140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4.25">
      <c r="A15" s="103" t="s">
        <v>512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4.25">
      <c r="A16" s="103" t="s">
        <v>1082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4.25">
      <c r="A17" s="103" t="s">
        <v>95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4.25">
      <c r="A18" s="103" t="s">
        <v>1120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4.25">
      <c r="A19" s="103" t="s">
        <v>224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42852</v>
      </c>
      <c r="C1" s="10"/>
      <c r="D1" s="10"/>
      <c r="E1" s="10"/>
      <c r="F1" s="11" t="s">
        <v>206</v>
      </c>
      <c r="G1" s="106">
        <f>63.863</f>
        <v>63.863</v>
      </c>
      <c r="H1" s="8" t="s">
        <v>207</v>
      </c>
      <c r="J1" s="154"/>
    </row>
    <row r="2" s="8" customFormat="1" ht="14.25">
      <c r="A2" s="33" t="s">
        <v>1146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913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4.25">
      <c r="A5" s="103" t="s">
        <v>418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4.25">
      <c r="A6" s="103" t="s">
        <v>936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4.25">
      <c r="A7" s="104" t="s">
        <v>1148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4.25">
      <c r="A8" s="103" t="s">
        <v>630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4.25">
      <c r="A9" s="103" t="s">
        <v>693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4.25">
      <c r="A10" s="103" t="s">
        <v>1149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4.25">
      <c r="A11" s="103" t="s">
        <v>1150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4.25">
      <c r="A12" s="103" t="s">
        <v>1151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4.25">
      <c r="A13" s="103" t="s">
        <v>1152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4.25">
      <c r="A14" s="103" t="s">
        <v>1120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4.25">
      <c r="A15" s="103" t="s">
        <v>1115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4.25">
      <c r="A16" s="103" t="s">
        <v>1153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4.25">
      <c r="A17" s="103" t="s">
        <v>224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887</v>
      </c>
    </row>
    <row r="22" ht="28.5">
      <c r="A22" s="107" t="s">
        <v>1147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41362</v>
      </c>
      <c r="C1" s="10"/>
      <c r="D1" s="11" t="s">
        <v>206</v>
      </c>
      <c r="E1" s="12">
        <f>40.59</f>
        <v>40.59</v>
      </c>
      <c r="G1" s="8" t="s">
        <v>207</v>
      </c>
    </row>
    <row r="2" s="8" customFormat="1" ht="23.25" customHeight="1">
      <c r="A2" s="33" t="s">
        <v>244</v>
      </c>
    </row>
    <row r="3" spans="1:9" s="15" customFormat="1" ht="57.7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121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194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143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175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152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245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112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116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179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131</v>
      </c>
      <c r="B18" s="48" t="s">
        <v>246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150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247</v>
      </c>
    </row>
    <row r="21" spans="1:9" s="8" customFormat="1" ht="14.25">
      <c r="A21" s="8" t="s">
        <v>224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42861</v>
      </c>
      <c r="C1" s="10"/>
      <c r="D1" s="10"/>
      <c r="E1" s="10"/>
      <c r="F1" s="11" t="s">
        <v>206</v>
      </c>
      <c r="G1" s="106">
        <v>66.02</v>
      </c>
      <c r="H1" s="8" t="s">
        <v>207</v>
      </c>
      <c r="J1" s="154"/>
    </row>
    <row r="2" s="8" customFormat="1" ht="14.25">
      <c r="A2" s="33" t="s">
        <v>1156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318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4.25">
      <c r="A5" s="103" t="s">
        <v>932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4.25">
      <c r="A6" s="103" t="s">
        <v>759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4.25">
      <c r="A7" s="104" t="s">
        <v>1157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4.25">
      <c r="A8" s="103" t="s">
        <v>1002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4.25">
      <c r="A9" s="103" t="s">
        <v>956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4.25">
      <c r="A10" s="103" t="s">
        <v>1034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4.25">
      <c r="A11" s="103" t="s">
        <v>1120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4.25">
      <c r="A12" s="103" t="s">
        <v>479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4.25">
      <c r="A13" s="103" t="s">
        <v>598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4.25">
      <c r="A14" s="103" t="s">
        <v>224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42871</v>
      </c>
      <c r="C1" s="10"/>
      <c r="D1" s="10"/>
      <c r="E1" s="10"/>
      <c r="F1" s="11" t="s">
        <v>206</v>
      </c>
      <c r="G1" s="106">
        <f>64.554</f>
        <v>64.554</v>
      </c>
      <c r="H1" s="8" t="s">
        <v>207</v>
      </c>
      <c r="J1" s="154"/>
    </row>
    <row r="2" s="8" customFormat="1" ht="14.25">
      <c r="A2" s="33" t="s">
        <v>1165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418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4.25">
      <c r="A5" s="103" t="s">
        <v>174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4.25">
      <c r="A6" s="103" t="s">
        <v>630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4.25">
      <c r="A7" s="104" t="s">
        <v>1082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4.25">
      <c r="A8" s="103" t="s">
        <v>1166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4.25">
      <c r="A9" s="103" t="s">
        <v>913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4.25">
      <c r="A10" s="103" t="s">
        <v>254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4.25">
      <c r="A11" s="103" t="s">
        <v>675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4.25">
      <c r="A12" s="104" t="s">
        <v>1167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4.25">
      <c r="A13" s="103" t="s">
        <v>1168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4.25">
      <c r="A14" s="103" t="s">
        <v>1151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4.25">
      <c r="A15" s="103" t="s">
        <v>127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4.25">
      <c r="A16" s="103" t="s">
        <v>1169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4.25">
      <c r="A17" s="103" t="s">
        <v>1140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4.25">
      <c r="A18" s="103" t="s">
        <v>224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42878</v>
      </c>
      <c r="C1" s="10"/>
      <c r="D1" s="10"/>
      <c r="E1" s="10"/>
      <c r="F1" s="11" t="s">
        <v>206</v>
      </c>
      <c r="G1" s="106">
        <v>65.302</v>
      </c>
      <c r="H1" s="8" t="s">
        <v>207</v>
      </c>
      <c r="J1" s="154"/>
    </row>
    <row r="2" s="8" customFormat="1" ht="14.25">
      <c r="A2" s="33" t="s">
        <v>1174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1168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4.25">
      <c r="A5" s="103" t="s">
        <v>418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4.25">
      <c r="A6" s="103" t="s">
        <v>600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f>5216+36</f>
        <v>5252</v>
      </c>
      <c r="I6" s="146">
        <f t="shared" si="4"/>
        <v>25.224597682305102</v>
      </c>
    </row>
    <row r="7" spans="1:9" s="8" customFormat="1" ht="14.25">
      <c r="A7" s="104" t="s">
        <v>7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4.25">
      <c r="A8" s="103" t="s">
        <v>75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4.25">
      <c r="A9" s="103" t="s">
        <v>95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2791+26+12</f>
        <v>2829</v>
      </c>
      <c r="I9" s="146">
        <f t="shared" si="4"/>
        <v>26.117338379875036</v>
      </c>
    </row>
    <row r="10" spans="1:9" s="15" customFormat="1" ht="14.25">
      <c r="A10" s="103" t="s">
        <v>1140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4.25">
      <c r="A11" s="103" t="s">
        <v>224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42884</v>
      </c>
      <c r="C1" s="10"/>
      <c r="D1" s="10"/>
      <c r="E1" s="10"/>
      <c r="F1" s="11" t="s">
        <v>206</v>
      </c>
      <c r="G1" s="106">
        <v>65.084</v>
      </c>
      <c r="H1" s="8" t="s">
        <v>207</v>
      </c>
      <c r="J1" s="154"/>
    </row>
    <row r="2" s="8" customFormat="1" ht="14.25">
      <c r="A2" s="33" t="s">
        <v>1179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786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0.6810216256524981</v>
      </c>
      <c r="F4" s="84">
        <f aca="true" t="shared" si="2" ref="F4:F14">B4+E4+C4</f>
        <v>9.393021625652498</v>
      </c>
      <c r="G4" s="145">
        <f aca="true" t="shared" si="3" ref="G4:G14">F4*$G$1</f>
        <v>611.3354194839673</v>
      </c>
      <c r="H4" s="119">
        <v>612</v>
      </c>
      <c r="I4" s="146">
        <f aca="true" t="shared" si="4" ref="I4:I14">H4-G4</f>
        <v>0.6645805160327427</v>
      </c>
    </row>
    <row r="5" spans="1:9" s="15" customFormat="1" ht="14.25">
      <c r="A5" s="103" t="s">
        <v>254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0.6810216256524981</v>
      </c>
      <c r="F5" s="84">
        <f>B5+E5+C5</f>
        <v>9.569021625652498</v>
      </c>
      <c r="G5" s="145">
        <f t="shared" si="3"/>
        <v>622.7902034839672</v>
      </c>
      <c r="H5" s="119">
        <v>651</v>
      </c>
      <c r="I5" s="146">
        <f>H5-G5</f>
        <v>28.20979651603284</v>
      </c>
    </row>
    <row r="6" spans="1:9" s="15" customFormat="1" ht="14.25">
      <c r="A6" s="103" t="s">
        <v>1180</v>
      </c>
      <c r="B6" s="22">
        <v>16.58</v>
      </c>
      <c r="C6" s="22">
        <f t="shared" si="0"/>
        <v>1.658</v>
      </c>
      <c r="D6" s="22">
        <v>500</v>
      </c>
      <c r="E6" s="84">
        <f t="shared" si="1"/>
        <v>2.619313944817301</v>
      </c>
      <c r="F6" s="84">
        <f t="shared" si="2"/>
        <v>20.8573139448173</v>
      </c>
      <c r="G6" s="145">
        <f t="shared" si="3"/>
        <v>1357.4774207844891</v>
      </c>
      <c r="H6" s="132">
        <v>1341</v>
      </c>
      <c r="I6" s="146">
        <f t="shared" si="4"/>
        <v>-16.47742078448914</v>
      </c>
    </row>
    <row r="7" spans="1:9" s="8" customFormat="1" ht="14.25">
      <c r="A7" s="104" t="s">
        <v>192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2.8812453392990305</v>
      </c>
      <c r="F7" s="84">
        <f t="shared" si="2"/>
        <v>10.625245339299031</v>
      </c>
      <c r="G7" s="145">
        <f t="shared" si="3"/>
        <v>691.5334676629382</v>
      </c>
      <c r="H7" s="132">
        <v>700</v>
      </c>
      <c r="I7" s="146">
        <f t="shared" si="4"/>
        <v>8.466532337061835</v>
      </c>
    </row>
    <row r="8" spans="1:9" s="15" customFormat="1" ht="14.25">
      <c r="A8" s="103" t="s">
        <v>558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2.8812453392990305</v>
      </c>
      <c r="F8" s="84">
        <f t="shared" si="2"/>
        <v>10.625245339299031</v>
      </c>
      <c r="G8" s="145">
        <f t="shared" si="3"/>
        <v>691.5334676629382</v>
      </c>
      <c r="H8" s="119">
        <v>694</v>
      </c>
      <c r="I8" s="146">
        <f t="shared" si="4"/>
        <v>2.4665323370618353</v>
      </c>
    </row>
    <row r="9" spans="1:9" s="15" customFormat="1" ht="14.25">
      <c r="A9" s="103" t="s">
        <v>986</v>
      </c>
      <c r="B9" s="22">
        <v>47.24</v>
      </c>
      <c r="C9" s="22">
        <f t="shared" si="0"/>
        <v>4.724</v>
      </c>
      <c r="D9" s="22">
        <v>1980</v>
      </c>
      <c r="E9" s="84">
        <f t="shared" si="1"/>
        <v>10.37248322147651</v>
      </c>
      <c r="F9" s="84">
        <f t="shared" si="2"/>
        <v>62.33648322147651</v>
      </c>
      <c r="G9" s="145">
        <f t="shared" si="3"/>
        <v>4057.1076739865775</v>
      </c>
      <c r="H9" s="150">
        <f>4042+11</f>
        <v>4053</v>
      </c>
      <c r="I9" s="146">
        <f t="shared" si="4"/>
        <v>-4.107673986577538</v>
      </c>
    </row>
    <row r="10" spans="1:9" s="15" customFormat="1" ht="14.25">
      <c r="A10" s="103" t="s">
        <v>155</v>
      </c>
      <c r="B10" s="22">
        <v>26.68</v>
      </c>
      <c r="C10" s="22">
        <f t="shared" si="0"/>
        <v>2.668</v>
      </c>
      <c r="D10" s="22">
        <v>1130</v>
      </c>
      <c r="E10" s="84">
        <f t="shared" si="1"/>
        <v>5.9196495152871</v>
      </c>
      <c r="F10" s="84">
        <f t="shared" si="2"/>
        <v>35.2676495152871</v>
      </c>
      <c r="G10" s="145">
        <f t="shared" si="3"/>
        <v>2295.3597010529456</v>
      </c>
      <c r="H10" s="150">
        <f>2242+52</f>
        <v>2294</v>
      </c>
      <c r="I10" s="146">
        <f t="shared" si="4"/>
        <v>-1.3597010529456384</v>
      </c>
    </row>
    <row r="11" spans="1:9" s="15" customFormat="1" ht="14.25">
      <c r="A11" s="103" t="s">
        <v>492</v>
      </c>
      <c r="B11" s="22">
        <v>19.5</v>
      </c>
      <c r="C11" s="22">
        <f t="shared" si="0"/>
        <v>1.9500000000000002</v>
      </c>
      <c r="D11" s="22">
        <v>590</v>
      </c>
      <c r="E11" s="84">
        <f t="shared" si="1"/>
        <v>3.0907904548844147</v>
      </c>
      <c r="F11" s="84">
        <f t="shared" si="2"/>
        <v>24.540790454884412</v>
      </c>
      <c r="G11" s="145">
        <f t="shared" si="3"/>
        <v>1597.2128059656973</v>
      </c>
      <c r="H11" s="119">
        <f>1594+3</f>
        <v>1597</v>
      </c>
      <c r="I11" s="146">
        <f t="shared" si="4"/>
        <v>-0.21280596569727095</v>
      </c>
    </row>
    <row r="12" spans="1:9" s="8" customFormat="1" ht="14.25">
      <c r="A12" s="104" t="s">
        <v>174</v>
      </c>
      <c r="B12" s="22">
        <v>56.85</v>
      </c>
      <c r="C12" s="22">
        <f t="shared" si="0"/>
        <v>5.6850000000000005</v>
      </c>
      <c r="D12" s="22">
        <v>170</v>
      </c>
      <c r="E12" s="84">
        <f t="shared" si="1"/>
        <v>0.8905667412378822</v>
      </c>
      <c r="F12" s="84">
        <f t="shared" si="2"/>
        <v>63.42556674123789</v>
      </c>
      <c r="G12" s="145">
        <f t="shared" si="3"/>
        <v>4127.989585786727</v>
      </c>
      <c r="H12" s="132">
        <v>4170</v>
      </c>
      <c r="I12" s="146">
        <f t="shared" si="4"/>
        <v>42.01041421327318</v>
      </c>
    </row>
    <row r="13" spans="1:9" s="15" customFormat="1" ht="14.25">
      <c r="A13" s="103" t="s">
        <v>1181</v>
      </c>
      <c r="B13" s="22">
        <v>18.41</v>
      </c>
      <c r="C13" s="22">
        <f t="shared" si="0"/>
        <v>1.8410000000000002</v>
      </c>
      <c r="D13" s="22">
        <v>890</v>
      </c>
      <c r="E13" s="84">
        <f t="shared" si="1"/>
        <v>4.662378821774795</v>
      </c>
      <c r="F13" s="84">
        <f t="shared" si="2"/>
        <v>24.913378821774796</v>
      </c>
      <c r="G13" s="145">
        <f t="shared" si="3"/>
        <v>1621.4623472363908</v>
      </c>
      <c r="H13" s="119">
        <f>1572+49</f>
        <v>1621</v>
      </c>
      <c r="I13" s="146">
        <f t="shared" si="4"/>
        <v>-0.46234723639076947</v>
      </c>
    </row>
    <row r="14" spans="1:9" s="15" customFormat="1" ht="14.25">
      <c r="A14" s="103" t="s">
        <v>1064</v>
      </c>
      <c r="B14" s="22">
        <v>9.07</v>
      </c>
      <c r="C14" s="22">
        <f t="shared" si="0"/>
        <v>0.907</v>
      </c>
      <c r="D14" s="22">
        <v>530</v>
      </c>
      <c r="E14" s="84">
        <f t="shared" si="1"/>
        <v>2.776472781506339</v>
      </c>
      <c r="F14" s="84">
        <f t="shared" si="2"/>
        <v>12.75347278150634</v>
      </c>
      <c r="G14" s="145">
        <f t="shared" si="3"/>
        <v>830.0470225115586</v>
      </c>
      <c r="H14" s="119">
        <f>804+26</f>
        <v>830</v>
      </c>
      <c r="I14" s="146">
        <f t="shared" si="4"/>
        <v>-0.04702251155856629</v>
      </c>
    </row>
    <row r="15" spans="1:10" s="8" customFormat="1" ht="14.25">
      <c r="A15" s="103" t="s">
        <v>224</v>
      </c>
      <c r="B15" s="85"/>
      <c r="C15" s="85"/>
      <c r="D15" s="22">
        <v>6260</v>
      </c>
      <c r="E15" s="84">
        <f t="shared" si="1"/>
        <v>32.7938105891126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13410</v>
      </c>
      <c r="E16" s="1">
        <v>70.25</v>
      </c>
      <c r="F16" s="113"/>
      <c r="G16" s="28"/>
      <c r="H16" s="28"/>
      <c r="I16" s="28"/>
    </row>
    <row r="17" ht="14.25">
      <c r="E17" s="181"/>
    </row>
    <row r="19" ht="28.5">
      <c r="A19" s="107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42892</v>
      </c>
      <c r="C1" s="10"/>
      <c r="D1" s="10"/>
      <c r="E1" s="10"/>
      <c r="F1" s="11" t="s">
        <v>206</v>
      </c>
      <c r="G1" s="106">
        <v>65.46</v>
      </c>
      <c r="H1" s="8" t="s">
        <v>207</v>
      </c>
      <c r="J1" s="154"/>
    </row>
    <row r="2" s="8" customFormat="1" ht="14.25">
      <c r="A2" s="33" t="s">
        <v>1187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1122</v>
      </c>
      <c r="B4" s="108">
        <v>16.58</v>
      </c>
      <c r="C4" s="22">
        <f>B4*0.1</f>
        <v>1.658</v>
      </c>
      <c r="D4" s="108">
        <v>940</v>
      </c>
      <c r="E4" s="84">
        <f>D4/$D$9*$E$9</f>
        <v>4.946441947565543</v>
      </c>
      <c r="F4" s="84">
        <f>B4+E4+C4</f>
        <v>23.184441947565542</v>
      </c>
      <c r="G4" s="145">
        <f>F4*$G$1</f>
        <v>1517.6535698876403</v>
      </c>
      <c r="H4" s="119">
        <v>1496</v>
      </c>
      <c r="I4" s="146">
        <f>H4-G4</f>
        <v>-21.653569887640288</v>
      </c>
    </row>
    <row r="5" spans="1:9" s="15" customFormat="1" ht="14.25">
      <c r="A5" s="103" t="s">
        <v>1132</v>
      </c>
      <c r="B5" s="22">
        <v>56.54</v>
      </c>
      <c r="C5" s="22">
        <f>B5*0.1</f>
        <v>5.654</v>
      </c>
      <c r="D5" s="22">
        <v>540</v>
      </c>
      <c r="E5" s="84">
        <f>D5/$D$9*$E$9</f>
        <v>2.841573033707865</v>
      </c>
      <c r="F5" s="84">
        <f>B5+E5+C5</f>
        <v>65.03557303370786</v>
      </c>
      <c r="G5" s="145">
        <f>F5*$G$1</f>
        <v>4257.228610786517</v>
      </c>
      <c r="H5" s="119">
        <f>4252+11</f>
        <v>4263</v>
      </c>
      <c r="I5" s="146">
        <f>H5-G5</f>
        <v>5.771389213483417</v>
      </c>
    </row>
    <row r="6" spans="1:9" s="15" customFormat="1" ht="14.25">
      <c r="A6" s="103" t="s">
        <v>178</v>
      </c>
      <c r="B6" s="22">
        <v>24</v>
      </c>
      <c r="C6" s="22">
        <f>B6*0.1</f>
        <v>2.4000000000000004</v>
      </c>
      <c r="D6" s="22">
        <v>255</v>
      </c>
      <c r="E6" s="84">
        <f>D6/$D$9*$E$9</f>
        <v>1.3418539325842698</v>
      </c>
      <c r="F6" s="84">
        <f>B6+E6+C6</f>
        <v>27.74185393258427</v>
      </c>
      <c r="G6" s="145">
        <f>F6*$G$1</f>
        <v>1815.981758426966</v>
      </c>
      <c r="H6" s="132">
        <f>1816+12</f>
        <v>1828</v>
      </c>
      <c r="I6" s="146">
        <f>H6-G6</f>
        <v>12.018241573033947</v>
      </c>
    </row>
    <row r="7" spans="1:9" s="8" customFormat="1" ht="14.25">
      <c r="A7" s="104" t="s">
        <v>1188</v>
      </c>
      <c r="B7" s="22">
        <v>32.79</v>
      </c>
      <c r="C7" s="22">
        <f>B7*0.1</f>
        <v>3.279</v>
      </c>
      <c r="D7" s="22">
        <v>1070</v>
      </c>
      <c r="E7" s="84">
        <f>D7/$D$9*$E$9</f>
        <v>5.630524344569288</v>
      </c>
      <c r="F7" s="84">
        <f>B7+E7+C7</f>
        <v>41.699524344569284</v>
      </c>
      <c r="G7" s="145">
        <f>F7*$G$1</f>
        <v>2729.650863595505</v>
      </c>
      <c r="H7" s="119">
        <v>2824</v>
      </c>
      <c r="I7" s="146">
        <f>H7-G7</f>
        <v>94.34913640449486</v>
      </c>
    </row>
    <row r="8" spans="1:10" s="8" customFormat="1" ht="14.25">
      <c r="A8" s="103" t="s">
        <v>224</v>
      </c>
      <c r="B8" s="85"/>
      <c r="C8" s="85"/>
      <c r="D8" s="22">
        <v>10545</v>
      </c>
      <c r="E8" s="84">
        <f>D8/$D$9*$E$9</f>
        <v>55.48960674157303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13350</v>
      </c>
      <c r="E9" s="1">
        <v>70.25</v>
      </c>
      <c r="F9" s="113"/>
      <c r="G9" s="28"/>
      <c r="H9" s="28"/>
      <c r="I9" s="28"/>
    </row>
    <row r="10" ht="14.25">
      <c r="E10" s="181"/>
    </row>
    <row r="12" ht="28.5">
      <c r="A12" s="107"/>
    </row>
    <row r="13" ht="28.5">
      <c r="A13" s="107"/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42902</v>
      </c>
      <c r="C1" s="10"/>
      <c r="D1" s="10"/>
      <c r="E1" s="10"/>
      <c r="F1" s="11" t="s">
        <v>206</v>
      </c>
      <c r="G1" s="106">
        <v>67.35</v>
      </c>
      <c r="H1" s="8" t="s">
        <v>207</v>
      </c>
      <c r="J1" s="154"/>
    </row>
    <row r="2" s="8" customFormat="1" ht="14.25">
      <c r="A2" s="33" t="s">
        <v>1191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848</v>
      </c>
      <c r="B4" s="22">
        <v>8.25</v>
      </c>
      <c r="C4" s="22">
        <f aca="true" t="shared" si="0" ref="C4:C15">B4*0.1</f>
        <v>0.8250000000000001</v>
      </c>
      <c r="D4" s="22">
        <v>65</v>
      </c>
      <c r="E4" s="84">
        <f aca="true" t="shared" si="1" ref="E4:E16">D4/$D$17*$E$17</f>
        <v>0.3361244019138756</v>
      </c>
      <c r="F4" s="84">
        <f aca="true" t="shared" si="2" ref="F4:F15">B4+E4+C4</f>
        <v>9.411124401913876</v>
      </c>
      <c r="G4" s="145">
        <f aca="true" t="shared" si="3" ref="G4:G15">F4*$G$1</f>
        <v>633.8392284688995</v>
      </c>
      <c r="H4" s="119">
        <v>616</v>
      </c>
      <c r="I4" s="146">
        <f aca="true" t="shared" si="4" ref="I4:I15">H4-G4</f>
        <v>-17.839228468899478</v>
      </c>
    </row>
    <row r="5" spans="1:9" s="15" customFormat="1" ht="14.25">
      <c r="A5" s="103" t="s">
        <v>1121</v>
      </c>
      <c r="B5" s="22">
        <v>8.25</v>
      </c>
      <c r="C5" s="22">
        <f t="shared" si="0"/>
        <v>0.8250000000000001</v>
      </c>
      <c r="D5" s="22">
        <v>65</v>
      </c>
      <c r="E5" s="84">
        <f t="shared" si="1"/>
        <v>0.3361244019138756</v>
      </c>
      <c r="F5" s="84">
        <f>B5+E5+C5</f>
        <v>9.411124401913876</v>
      </c>
      <c r="G5" s="145">
        <f t="shared" si="3"/>
        <v>633.8392284688995</v>
      </c>
      <c r="H5" s="119">
        <f>617+17</f>
        <v>634</v>
      </c>
      <c r="I5" s="146">
        <f>H5-G5</f>
        <v>0.16077153110052222</v>
      </c>
    </row>
    <row r="6" spans="1:9" s="15" customFormat="1" ht="14.25">
      <c r="A6" s="103" t="s">
        <v>1192</v>
      </c>
      <c r="B6" s="22">
        <v>8.25</v>
      </c>
      <c r="C6" s="22">
        <f t="shared" si="0"/>
        <v>0.8250000000000001</v>
      </c>
      <c r="D6" s="22">
        <v>65</v>
      </c>
      <c r="E6" s="84">
        <f t="shared" si="1"/>
        <v>0.3361244019138756</v>
      </c>
      <c r="F6" s="84">
        <f t="shared" si="2"/>
        <v>9.411124401913876</v>
      </c>
      <c r="G6" s="145">
        <f t="shared" si="3"/>
        <v>633.8392284688995</v>
      </c>
      <c r="H6" s="132">
        <v>616</v>
      </c>
      <c r="I6" s="146">
        <f t="shared" si="4"/>
        <v>-17.839228468899478</v>
      </c>
    </row>
    <row r="7" spans="1:10" s="8" customFormat="1" ht="14.25">
      <c r="A7" s="104" t="s">
        <v>192</v>
      </c>
      <c r="B7" s="22">
        <v>2.92</v>
      </c>
      <c r="C7" s="22">
        <f t="shared" si="0"/>
        <v>0.292</v>
      </c>
      <c r="D7" s="22">
        <v>135</v>
      </c>
      <c r="E7" s="84">
        <f t="shared" si="1"/>
        <v>0.6981045270518955</v>
      </c>
      <c r="F7" s="84">
        <f t="shared" si="2"/>
        <v>3.910104527051895</v>
      </c>
      <c r="G7" s="145">
        <f t="shared" si="3"/>
        <v>263.3455398969451</v>
      </c>
      <c r="H7" s="132">
        <v>270</v>
      </c>
      <c r="I7" s="146">
        <f t="shared" si="4"/>
        <v>6.654460103054873</v>
      </c>
      <c r="J7" s="8" t="s">
        <v>1200</v>
      </c>
    </row>
    <row r="8" spans="1:9" s="15" customFormat="1" ht="14.25">
      <c r="A8" s="103" t="s">
        <v>1140</v>
      </c>
      <c r="B8" s="22">
        <v>10.75</v>
      </c>
      <c r="C8" s="22">
        <f t="shared" si="0"/>
        <v>1.075</v>
      </c>
      <c r="D8" s="22">
        <v>820</v>
      </c>
      <c r="E8" s="84">
        <f t="shared" si="1"/>
        <v>4.240338608759661</v>
      </c>
      <c r="F8" s="84">
        <f t="shared" si="2"/>
        <v>16.06533860875966</v>
      </c>
      <c r="G8" s="145">
        <f t="shared" si="3"/>
        <v>1082.000555299963</v>
      </c>
      <c r="H8" s="119">
        <f>1070+38</f>
        <v>1108</v>
      </c>
      <c r="I8" s="146">
        <f t="shared" si="4"/>
        <v>25.999444700036975</v>
      </c>
    </row>
    <row r="9" spans="1:9" s="15" customFormat="1" ht="14.25">
      <c r="A9" s="103" t="s">
        <v>406</v>
      </c>
      <c r="B9" s="22">
        <v>15.75</v>
      </c>
      <c r="C9" s="22">
        <f t="shared" si="0"/>
        <v>1.5750000000000002</v>
      </c>
      <c r="D9" s="22">
        <v>65</v>
      </c>
      <c r="E9" s="84">
        <f t="shared" si="1"/>
        <v>0.3361244019138756</v>
      </c>
      <c r="F9" s="84">
        <f t="shared" si="2"/>
        <v>17.661124401913874</v>
      </c>
      <c r="G9" s="145">
        <f t="shared" si="3"/>
        <v>1189.4767284688994</v>
      </c>
      <c r="H9" s="119">
        <v>1157</v>
      </c>
      <c r="I9" s="146">
        <f t="shared" si="4"/>
        <v>-32.47672846889941</v>
      </c>
    </row>
    <row r="10" spans="1:9" s="15" customFormat="1" ht="14.25">
      <c r="A10" s="103" t="s">
        <v>517</v>
      </c>
      <c r="B10" s="22">
        <v>9.92</v>
      </c>
      <c r="C10" s="22">
        <f t="shared" si="0"/>
        <v>0.992</v>
      </c>
      <c r="D10" s="22">
        <v>180</v>
      </c>
      <c r="E10" s="84">
        <f t="shared" si="1"/>
        <v>0.9308060360691939</v>
      </c>
      <c r="F10" s="84">
        <f t="shared" si="2"/>
        <v>11.842806036069195</v>
      </c>
      <c r="G10" s="145">
        <f t="shared" si="3"/>
        <v>797.6129865292602</v>
      </c>
      <c r="H10" s="150">
        <v>833</v>
      </c>
      <c r="I10" s="146">
        <f t="shared" si="4"/>
        <v>35.38701347073982</v>
      </c>
    </row>
    <row r="11" spans="1:9" s="15" customFormat="1" ht="14.25">
      <c r="A11" s="103" t="s">
        <v>1056</v>
      </c>
      <c r="B11" s="22">
        <v>14.08</v>
      </c>
      <c r="C11" s="22">
        <f t="shared" si="0"/>
        <v>1.4080000000000001</v>
      </c>
      <c r="D11" s="22">
        <v>205</v>
      </c>
      <c r="E11" s="84">
        <f t="shared" si="1"/>
        <v>1.0600846521899152</v>
      </c>
      <c r="F11" s="84">
        <f t="shared" si="2"/>
        <v>16.548084652189917</v>
      </c>
      <c r="G11" s="145">
        <f t="shared" si="3"/>
        <v>1114.5135013249908</v>
      </c>
      <c r="H11" s="119">
        <v>1078</v>
      </c>
      <c r="I11" s="146">
        <f t="shared" si="4"/>
        <v>-36.513501324990784</v>
      </c>
    </row>
    <row r="12" spans="1:9" s="8" customFormat="1" ht="14.25">
      <c r="A12" s="104" t="s">
        <v>145</v>
      </c>
      <c r="B12" s="22">
        <v>24.35</v>
      </c>
      <c r="C12" s="22">
        <f t="shared" si="0"/>
        <v>2.4350000000000005</v>
      </c>
      <c r="D12" s="22">
        <v>725</v>
      </c>
      <c r="E12" s="84">
        <f t="shared" si="1"/>
        <v>3.74907986750092</v>
      </c>
      <c r="F12" s="84">
        <f t="shared" si="2"/>
        <v>30.53407986750092</v>
      </c>
      <c r="G12" s="145">
        <f t="shared" si="3"/>
        <v>2056.4702790761867</v>
      </c>
      <c r="H12" s="119">
        <v>1998</v>
      </c>
      <c r="I12" s="146">
        <f t="shared" si="4"/>
        <v>-58.47027907618667</v>
      </c>
    </row>
    <row r="13" spans="1:9" s="15" customFormat="1" ht="14.25">
      <c r="A13" s="103" t="s">
        <v>174</v>
      </c>
      <c r="B13" s="22">
        <v>24.04</v>
      </c>
      <c r="C13" s="22">
        <f t="shared" si="0"/>
        <v>2.404</v>
      </c>
      <c r="D13" s="22">
        <v>850</v>
      </c>
      <c r="E13" s="84">
        <f t="shared" si="1"/>
        <v>4.395472948104527</v>
      </c>
      <c r="F13" s="84">
        <f t="shared" si="2"/>
        <v>30.839472948104525</v>
      </c>
      <c r="G13" s="145">
        <f t="shared" si="3"/>
        <v>2077.0385030548396</v>
      </c>
      <c r="H13" s="119">
        <v>2069</v>
      </c>
      <c r="I13" s="146">
        <f t="shared" si="4"/>
        <v>-8.038503054839566</v>
      </c>
    </row>
    <row r="14" spans="1:9" s="15" customFormat="1" ht="14.25">
      <c r="A14" s="103" t="s">
        <v>1199</v>
      </c>
      <c r="B14" s="22">
        <v>12.08</v>
      </c>
      <c r="C14" s="22">
        <f t="shared" si="0"/>
        <v>1.2080000000000002</v>
      </c>
      <c r="D14" s="22">
        <v>820</v>
      </c>
      <c r="E14" s="84">
        <f>D14/$D$17*$E$17</f>
        <v>4.240338608759661</v>
      </c>
      <c r="F14" s="84">
        <f>B14+E14+C14</f>
        <v>17.52833860875966</v>
      </c>
      <c r="G14" s="145">
        <f>F14*$G$1</f>
        <v>1180.533605299963</v>
      </c>
      <c r="H14" s="119">
        <v>1140</v>
      </c>
      <c r="I14" s="146">
        <f>H14-G14</f>
        <v>-40.53360529996303</v>
      </c>
    </row>
    <row r="15" spans="1:9" s="15" customFormat="1" ht="14.25">
      <c r="A15" s="103" t="s">
        <v>1193</v>
      </c>
      <c r="B15" s="22">
        <v>24.68</v>
      </c>
      <c r="C15" s="22">
        <f t="shared" si="0"/>
        <v>2.468</v>
      </c>
      <c r="D15" s="22">
        <v>815</v>
      </c>
      <c r="E15" s="84">
        <f t="shared" si="1"/>
        <v>4.214482885535517</v>
      </c>
      <c r="F15" s="84">
        <f t="shared" si="2"/>
        <v>31.362482885535517</v>
      </c>
      <c r="G15" s="145">
        <f t="shared" si="3"/>
        <v>2112.263222340817</v>
      </c>
      <c r="H15" s="119">
        <v>2047</v>
      </c>
      <c r="I15" s="146">
        <f t="shared" si="4"/>
        <v>-65.26322234081681</v>
      </c>
    </row>
    <row r="16" spans="1:10" s="8" customFormat="1" ht="14.25">
      <c r="A16" s="103" t="s">
        <v>224</v>
      </c>
      <c r="B16" s="85"/>
      <c r="C16" s="85"/>
      <c r="D16" s="22">
        <v>8775</v>
      </c>
      <c r="E16" s="84">
        <f t="shared" si="1"/>
        <v>45.37679425837321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13585</v>
      </c>
      <c r="E17" s="1">
        <v>70.25</v>
      </c>
      <c r="F17" s="113"/>
      <c r="G17" s="28"/>
      <c r="H17" s="28"/>
      <c r="I17" s="28"/>
    </row>
    <row r="18" ht="14.25">
      <c r="E18" s="181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42913</v>
      </c>
      <c r="C1" s="10"/>
      <c r="D1" s="10"/>
      <c r="E1" s="10"/>
      <c r="F1" s="11" t="s">
        <v>206</v>
      </c>
      <c r="G1" s="106">
        <f>69.68</f>
        <v>69.68</v>
      </c>
      <c r="H1" s="8" t="s">
        <v>207</v>
      </c>
      <c r="J1" s="154"/>
    </row>
    <row r="2" s="8" customFormat="1" ht="14.25">
      <c r="A2" s="33" t="s">
        <v>1201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1193</v>
      </c>
      <c r="B4" s="22">
        <v>4.6</v>
      </c>
      <c r="C4" s="22">
        <f aca="true" t="shared" si="0" ref="C4:C15">B4*0.1</f>
        <v>0.45999999999999996</v>
      </c>
      <c r="D4" s="22">
        <v>20</v>
      </c>
      <c r="E4" s="84">
        <f aca="true" t="shared" si="1" ref="E4:E18">D4/$D$19*$E$19</f>
        <v>0.10327085630282985</v>
      </c>
      <c r="F4" s="84">
        <f aca="true" t="shared" si="2" ref="F4:F15">B4+E4+C4</f>
        <v>5.163270856302829</v>
      </c>
      <c r="G4" s="145">
        <f aca="true" t="shared" si="3" ref="G4:G15">F4*$G$1</f>
        <v>359.7767132671812</v>
      </c>
      <c r="H4" s="119">
        <f>415+10</f>
        <v>425</v>
      </c>
      <c r="I4" s="146">
        <f aca="true" t="shared" si="4" ref="I4:I15">H4-G4</f>
        <v>65.22328673281879</v>
      </c>
    </row>
    <row r="5" spans="1:9" s="15" customFormat="1" ht="14.25">
      <c r="A5" s="103" t="s">
        <v>102</v>
      </c>
      <c r="B5" s="22">
        <v>5.97</v>
      </c>
      <c r="C5" s="22">
        <f t="shared" si="0"/>
        <v>0.597</v>
      </c>
      <c r="D5" s="22">
        <v>500</v>
      </c>
      <c r="E5" s="84">
        <f t="shared" si="1"/>
        <v>2.581771407570746</v>
      </c>
      <c r="F5" s="84">
        <f>B5+E5+C5</f>
        <v>9.148771407570745</v>
      </c>
      <c r="G5" s="145">
        <f t="shared" si="3"/>
        <v>637.4863916795296</v>
      </c>
      <c r="H5" s="132">
        <v>626</v>
      </c>
      <c r="I5" s="146">
        <f>H5-G5</f>
        <v>-11.48639167952956</v>
      </c>
    </row>
    <row r="6" spans="1:9" s="15" customFormat="1" ht="14.25">
      <c r="A6" s="103" t="s">
        <v>155</v>
      </c>
      <c r="B6" s="22">
        <v>5.74</v>
      </c>
      <c r="C6" s="22">
        <f t="shared" si="0"/>
        <v>0.5740000000000001</v>
      </c>
      <c r="D6" s="22">
        <v>130</v>
      </c>
      <c r="E6" s="84">
        <f t="shared" si="1"/>
        <v>0.671260565968394</v>
      </c>
      <c r="F6" s="84">
        <f t="shared" si="2"/>
        <v>6.985260565968394</v>
      </c>
      <c r="G6" s="145">
        <f t="shared" si="3"/>
        <v>486.73295623667775</v>
      </c>
      <c r="H6" s="132">
        <f>475+12</f>
        <v>487</v>
      </c>
      <c r="I6" s="146">
        <f t="shared" si="4"/>
        <v>0.2670437633222491</v>
      </c>
    </row>
    <row r="7" spans="1:9" s="8" customFormat="1" ht="14.25">
      <c r="A7" s="104" t="s">
        <v>127</v>
      </c>
      <c r="B7" s="22">
        <v>10.75</v>
      </c>
      <c r="C7" s="22">
        <f t="shared" si="0"/>
        <v>1.075</v>
      </c>
      <c r="D7" s="22">
        <v>30</v>
      </c>
      <c r="E7" s="84">
        <f t="shared" si="1"/>
        <v>0.15490628445424476</v>
      </c>
      <c r="F7" s="84">
        <f t="shared" si="2"/>
        <v>11.979906284454245</v>
      </c>
      <c r="G7" s="145">
        <f t="shared" si="3"/>
        <v>834.7598699007718</v>
      </c>
      <c r="H7" s="132">
        <f>812+23</f>
        <v>835</v>
      </c>
      <c r="I7" s="146">
        <f t="shared" si="4"/>
        <v>0.24013009922816764</v>
      </c>
    </row>
    <row r="8" spans="1:9" s="15" customFormat="1" ht="14.25">
      <c r="A8" s="103" t="s">
        <v>1202</v>
      </c>
      <c r="B8" s="22">
        <v>9.08</v>
      </c>
      <c r="C8" s="22">
        <f t="shared" si="0"/>
        <v>0.908</v>
      </c>
      <c r="D8" s="22">
        <v>65</v>
      </c>
      <c r="E8" s="84">
        <f t="shared" si="1"/>
        <v>0.335630282984197</v>
      </c>
      <c r="F8" s="84">
        <f t="shared" si="2"/>
        <v>10.323630282984196</v>
      </c>
      <c r="G8" s="145">
        <f t="shared" si="3"/>
        <v>719.3505581183389</v>
      </c>
      <c r="H8" s="119">
        <f>700+19</f>
        <v>719</v>
      </c>
      <c r="I8" s="146">
        <f t="shared" si="4"/>
        <v>-0.3505581183388813</v>
      </c>
    </row>
    <row r="9" spans="1:9" s="15" customFormat="1" ht="14.25">
      <c r="A9" s="103" t="s">
        <v>1203</v>
      </c>
      <c r="B9" s="22">
        <v>8.06</v>
      </c>
      <c r="C9" s="22">
        <f t="shared" si="0"/>
        <v>0.806</v>
      </c>
      <c r="D9" s="22">
        <v>90</v>
      </c>
      <c r="E9" s="84">
        <f t="shared" si="1"/>
        <v>0.4647188533627343</v>
      </c>
      <c r="F9" s="84">
        <f t="shared" si="2"/>
        <v>9.330718853362736</v>
      </c>
      <c r="G9" s="145">
        <f t="shared" si="3"/>
        <v>650.1644897023156</v>
      </c>
      <c r="H9" s="132">
        <f>622+28</f>
        <v>650</v>
      </c>
      <c r="I9" s="146">
        <f t="shared" si="4"/>
        <v>-0.1644897023155636</v>
      </c>
    </row>
    <row r="10" spans="1:9" s="15" customFormat="1" ht="14.25">
      <c r="A10" s="103" t="s">
        <v>87</v>
      </c>
      <c r="B10" s="22">
        <v>13.545</v>
      </c>
      <c r="C10" s="22">
        <f t="shared" si="0"/>
        <v>1.3545</v>
      </c>
      <c r="D10" s="22">
        <v>470</v>
      </c>
      <c r="E10" s="84">
        <f t="shared" si="1"/>
        <v>2.4268651231165013</v>
      </c>
      <c r="F10" s="84">
        <f t="shared" si="2"/>
        <v>17.326365123116503</v>
      </c>
      <c r="G10" s="145">
        <f t="shared" si="3"/>
        <v>1207.301121778758</v>
      </c>
      <c r="H10" s="150">
        <f>1182+28</f>
        <v>1210</v>
      </c>
      <c r="I10" s="146">
        <f t="shared" si="4"/>
        <v>2.698878221242012</v>
      </c>
    </row>
    <row r="11" spans="1:9" s="15" customFormat="1" ht="14.25">
      <c r="A11" s="103" t="s">
        <v>693</v>
      </c>
      <c r="B11" s="22">
        <v>18.66</v>
      </c>
      <c r="C11" s="22">
        <f t="shared" si="0"/>
        <v>1.866</v>
      </c>
      <c r="D11" s="22">
        <v>550</v>
      </c>
      <c r="E11" s="84">
        <f t="shared" si="1"/>
        <v>2.8399485483278206</v>
      </c>
      <c r="F11" s="84">
        <f t="shared" si="2"/>
        <v>23.36594854832782</v>
      </c>
      <c r="G11" s="145">
        <f t="shared" si="3"/>
        <v>1628.1392948474827</v>
      </c>
      <c r="H11" s="132">
        <f>1581+53</f>
        <v>1634</v>
      </c>
      <c r="I11" s="146">
        <f t="shared" si="4"/>
        <v>5.860705152517312</v>
      </c>
    </row>
    <row r="12" spans="1:9" s="8" customFormat="1" ht="14.25">
      <c r="A12" s="104" t="s">
        <v>812</v>
      </c>
      <c r="B12" s="22">
        <v>23.57</v>
      </c>
      <c r="C12" s="22">
        <f t="shared" si="0"/>
        <v>2.357</v>
      </c>
      <c r="D12" s="22">
        <v>905</v>
      </c>
      <c r="E12" s="84">
        <f t="shared" si="1"/>
        <v>4.67300624770305</v>
      </c>
      <c r="F12" s="84">
        <f t="shared" si="2"/>
        <v>30.60000624770305</v>
      </c>
      <c r="G12" s="145">
        <f t="shared" si="3"/>
        <v>2132.2084353399487</v>
      </c>
      <c r="H12" s="119">
        <v>2060</v>
      </c>
      <c r="I12" s="146">
        <f t="shared" si="4"/>
        <v>-72.20843533994866</v>
      </c>
    </row>
    <row r="13" spans="1:9" s="15" customFormat="1" ht="14.25">
      <c r="A13" s="103" t="s">
        <v>418</v>
      </c>
      <c r="B13" s="22">
        <v>52.99</v>
      </c>
      <c r="C13" s="22">
        <f t="shared" si="0"/>
        <v>5.299</v>
      </c>
      <c r="D13" s="22">
        <v>380</v>
      </c>
      <c r="E13" s="84">
        <f t="shared" si="1"/>
        <v>1.962146269753767</v>
      </c>
      <c r="F13" s="84">
        <f t="shared" si="2"/>
        <v>60.25114626975377</v>
      </c>
      <c r="G13" s="145">
        <f t="shared" si="3"/>
        <v>4198.299872076443</v>
      </c>
      <c r="H13" s="132">
        <v>4232</v>
      </c>
      <c r="I13" s="146">
        <f t="shared" si="4"/>
        <v>33.700127923557375</v>
      </c>
    </row>
    <row r="14" spans="1:9" s="15" customFormat="1" ht="14.25">
      <c r="A14" s="103" t="s">
        <v>1204</v>
      </c>
      <c r="B14" s="22">
        <v>23.44</v>
      </c>
      <c r="C14" s="22">
        <f t="shared" si="0"/>
        <v>2.3440000000000003</v>
      </c>
      <c r="D14" s="22">
        <v>640</v>
      </c>
      <c r="E14" s="84">
        <f>D14/$D$19*$E$19</f>
        <v>3.3046674016905553</v>
      </c>
      <c r="F14" s="84">
        <f>B14+E14+C14</f>
        <v>29.088667401690557</v>
      </c>
      <c r="G14" s="145">
        <f>F14*$G$1</f>
        <v>2026.8983445497981</v>
      </c>
      <c r="H14" s="119">
        <f>1930+97</f>
        <v>2027</v>
      </c>
      <c r="I14" s="146">
        <f>H14-G14</f>
        <v>0.10165545020186073</v>
      </c>
    </row>
    <row r="15" spans="1:9" s="15" customFormat="1" ht="14.25">
      <c r="A15" s="103" t="s">
        <v>1205</v>
      </c>
      <c r="B15" s="22">
        <v>17.845</v>
      </c>
      <c r="C15" s="22">
        <f t="shared" si="0"/>
        <v>1.7845</v>
      </c>
      <c r="D15" s="22">
        <v>1610</v>
      </c>
      <c r="E15" s="84">
        <f t="shared" si="1"/>
        <v>8.313303932377803</v>
      </c>
      <c r="F15" s="84">
        <f t="shared" si="2"/>
        <v>27.942803932377803</v>
      </c>
      <c r="G15" s="145">
        <f t="shared" si="3"/>
        <v>1947.0545780080854</v>
      </c>
      <c r="H15" s="119">
        <f>1914+33</f>
        <v>1947</v>
      </c>
      <c r="I15" s="146">
        <f t="shared" si="4"/>
        <v>-0.05457800808540014</v>
      </c>
    </row>
    <row r="16" spans="1:9" s="15" customFormat="1" ht="14.25">
      <c r="A16" s="103" t="s">
        <v>918</v>
      </c>
      <c r="B16" s="22">
        <v>39.75</v>
      </c>
      <c r="C16" s="22">
        <f>B16*0.1</f>
        <v>3.975</v>
      </c>
      <c r="D16" s="22">
        <v>290</v>
      </c>
      <c r="E16" s="84">
        <f>D16/$D$19*$E$19</f>
        <v>1.4974274163910328</v>
      </c>
      <c r="F16" s="84">
        <f>B16+E16+C16</f>
        <v>45.222427416391035</v>
      </c>
      <c r="G16" s="145">
        <f>F16*$G$1</f>
        <v>3151.0987423741276</v>
      </c>
      <c r="H16" s="132">
        <f>3073+84</f>
        <v>3157</v>
      </c>
      <c r="I16" s="146">
        <f>H16-G16</f>
        <v>5.901257625872404</v>
      </c>
    </row>
    <row r="17" spans="1:9" s="15" customFormat="1" ht="14.25">
      <c r="A17" s="103" t="s">
        <v>739</v>
      </c>
      <c r="B17" s="22">
        <v>95.16</v>
      </c>
      <c r="C17" s="22">
        <f>B17*0.1</f>
        <v>9.516</v>
      </c>
      <c r="D17" s="22">
        <v>1455</v>
      </c>
      <c r="E17" s="84">
        <f>D17/$D$19*$E$19</f>
        <v>7.512954796030871</v>
      </c>
      <c r="F17" s="84">
        <f>B17+E17+C17</f>
        <v>112.18895479603087</v>
      </c>
      <c r="G17" s="145">
        <f>F17*$G$1</f>
        <v>7817.326370187432</v>
      </c>
      <c r="H17" s="132">
        <f>7583+214</f>
        <v>7797</v>
      </c>
      <c r="I17" s="146">
        <f>H17-G17</f>
        <v>-20.326370187432076</v>
      </c>
    </row>
    <row r="18" spans="1:10" s="8" customFormat="1" ht="14.25">
      <c r="A18" s="103" t="s">
        <v>224</v>
      </c>
      <c r="B18" s="85"/>
      <c r="C18" s="85"/>
      <c r="D18" s="22">
        <v>6470</v>
      </c>
      <c r="E18" s="84">
        <f t="shared" si="1"/>
        <v>33.40812201396545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13605</v>
      </c>
      <c r="E19" s="1">
        <v>70.25</v>
      </c>
      <c r="F19" s="113"/>
      <c r="G19" s="28"/>
      <c r="H19" s="28"/>
      <c r="I19" s="28"/>
    </row>
    <row r="20" ht="14.25">
      <c r="E20" s="181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9" width="12.00390625" style="0" customWidth="1"/>
  </cols>
  <sheetData>
    <row r="1" spans="1:10" s="8" customFormat="1" ht="21">
      <c r="A1" s="9" t="s">
        <v>205</v>
      </c>
      <c r="B1" s="10">
        <v>42930</v>
      </c>
      <c r="C1" s="10"/>
      <c r="D1" s="10"/>
      <c r="E1" s="10"/>
      <c r="F1" s="11" t="s">
        <v>206</v>
      </c>
      <c r="G1" s="106">
        <v>69.92</v>
      </c>
      <c r="H1" s="8" t="s">
        <v>207</v>
      </c>
      <c r="J1" s="154"/>
    </row>
    <row r="2" s="8" customFormat="1" ht="14.25">
      <c r="A2" s="33" t="s">
        <v>1210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1211</v>
      </c>
      <c r="B4" s="22">
        <v>9.58</v>
      </c>
      <c r="C4" s="22">
        <f aca="true" t="shared" si="0" ref="C4:C13">B4*0.1</f>
        <v>0.9580000000000001</v>
      </c>
      <c r="D4" s="22">
        <v>460</v>
      </c>
      <c r="E4" s="84">
        <f aca="true" t="shared" si="1" ref="E4:E14">D4/$D$15*$E$15</f>
        <v>2.49540757749713</v>
      </c>
      <c r="F4" s="84">
        <f aca="true" t="shared" si="2" ref="F4:F13">B4+E4+C4</f>
        <v>13.03340757749713</v>
      </c>
      <c r="G4" s="145">
        <f aca="true" t="shared" si="3" ref="G4:G13">F4*$G$1</f>
        <v>911.2958578185993</v>
      </c>
      <c r="H4" s="132">
        <v>937</v>
      </c>
      <c r="I4" s="146">
        <f aca="true" t="shared" si="4" ref="I4:I13">H4-G4</f>
        <v>25.704142181400698</v>
      </c>
    </row>
    <row r="5" spans="1:9" s="15" customFormat="1" ht="14.25">
      <c r="A5" s="103" t="s">
        <v>1077</v>
      </c>
      <c r="B5" s="22">
        <v>2.45</v>
      </c>
      <c r="C5" s="22">
        <f t="shared" si="0"/>
        <v>0.24500000000000002</v>
      </c>
      <c r="D5" s="22">
        <v>20</v>
      </c>
      <c r="E5" s="84">
        <f t="shared" si="1"/>
        <v>0.10849598163030999</v>
      </c>
      <c r="F5" s="84">
        <f>B5+E5+C5</f>
        <v>2.80349598163031</v>
      </c>
      <c r="G5" s="145">
        <f t="shared" si="3"/>
        <v>196.0204390355913</v>
      </c>
      <c r="H5" s="132">
        <v>200</v>
      </c>
      <c r="I5" s="146">
        <f>H5-G5</f>
        <v>3.979560964408705</v>
      </c>
    </row>
    <row r="6" spans="1:9" s="15" customFormat="1" ht="14.25">
      <c r="A6" s="103" t="s">
        <v>1212</v>
      </c>
      <c r="B6" s="22">
        <v>28.67</v>
      </c>
      <c r="C6" s="22">
        <f t="shared" si="0"/>
        <v>2.8670000000000004</v>
      </c>
      <c r="D6" s="22">
        <v>335</v>
      </c>
      <c r="E6" s="84">
        <f t="shared" si="1"/>
        <v>1.8173076923076925</v>
      </c>
      <c r="F6" s="84">
        <f t="shared" si="2"/>
        <v>33.35430769230769</v>
      </c>
      <c r="G6" s="145">
        <f t="shared" si="3"/>
        <v>2332.133193846154</v>
      </c>
      <c r="H6" s="132">
        <f>2307+25</f>
        <v>2332</v>
      </c>
      <c r="I6" s="146">
        <f t="shared" si="4"/>
        <v>-0.13319384615397212</v>
      </c>
    </row>
    <row r="7" spans="1:9" s="8" customFormat="1" ht="14.25">
      <c r="A7" s="104" t="s">
        <v>418</v>
      </c>
      <c r="B7" s="22">
        <v>9.13</v>
      </c>
      <c r="C7" s="22">
        <f t="shared" si="0"/>
        <v>0.9130000000000001</v>
      </c>
      <c r="D7" s="22">
        <v>80</v>
      </c>
      <c r="E7" s="84">
        <f t="shared" si="1"/>
        <v>0.43398392652123996</v>
      </c>
      <c r="F7" s="84">
        <f t="shared" si="2"/>
        <v>10.47698392652124</v>
      </c>
      <c r="G7" s="145">
        <f t="shared" si="3"/>
        <v>732.5507161423652</v>
      </c>
      <c r="H7" s="119">
        <v>860</v>
      </c>
      <c r="I7" s="146">
        <f t="shared" si="4"/>
        <v>127.44928385763478</v>
      </c>
    </row>
    <row r="8" spans="1:9" s="15" customFormat="1" ht="14.25">
      <c r="A8" s="103" t="s">
        <v>1213</v>
      </c>
      <c r="B8" s="22">
        <v>6.58</v>
      </c>
      <c r="C8" s="22">
        <f t="shared" si="0"/>
        <v>0.658</v>
      </c>
      <c r="D8" s="22">
        <v>550</v>
      </c>
      <c r="E8" s="84">
        <f t="shared" si="1"/>
        <v>2.9836394948335245</v>
      </c>
      <c r="F8" s="84">
        <f t="shared" si="2"/>
        <v>10.221639494833523</v>
      </c>
      <c r="G8" s="145">
        <f t="shared" si="3"/>
        <v>714.69703347876</v>
      </c>
      <c r="H8" s="132">
        <v>744</v>
      </c>
      <c r="I8" s="146">
        <f t="shared" si="4"/>
        <v>29.302966521240023</v>
      </c>
    </row>
    <row r="9" spans="1:9" s="15" customFormat="1" ht="14.25">
      <c r="A9" s="103" t="s">
        <v>174</v>
      </c>
      <c r="B9" s="22">
        <v>26.5</v>
      </c>
      <c r="C9" s="22">
        <f t="shared" si="0"/>
        <v>2.6500000000000004</v>
      </c>
      <c r="D9" s="22">
        <v>480</v>
      </c>
      <c r="E9" s="84">
        <f t="shared" si="1"/>
        <v>2.6039035591274398</v>
      </c>
      <c r="F9" s="84">
        <f t="shared" si="2"/>
        <v>31.753903559127437</v>
      </c>
      <c r="G9" s="145">
        <f t="shared" si="3"/>
        <v>2220.2329368541905</v>
      </c>
      <c r="H9" s="132">
        <v>2275</v>
      </c>
      <c r="I9" s="146">
        <f t="shared" si="4"/>
        <v>54.767063145809516</v>
      </c>
    </row>
    <row r="10" spans="1:9" s="15" customFormat="1" ht="14.25">
      <c r="A10" s="103" t="s">
        <v>1214</v>
      </c>
      <c r="B10" s="22">
        <v>18.25</v>
      </c>
      <c r="C10" s="22">
        <f t="shared" si="0"/>
        <v>1.8250000000000002</v>
      </c>
      <c r="D10" s="22">
        <v>125</v>
      </c>
      <c r="E10" s="84">
        <f t="shared" si="1"/>
        <v>0.6780998851894374</v>
      </c>
      <c r="F10" s="84">
        <f t="shared" si="2"/>
        <v>20.753099885189435</v>
      </c>
      <c r="G10" s="145">
        <f t="shared" si="3"/>
        <v>1451.0567439724452</v>
      </c>
      <c r="H10" s="132">
        <v>1481</v>
      </c>
      <c r="I10" s="146">
        <f t="shared" si="4"/>
        <v>29.943256027554753</v>
      </c>
    </row>
    <row r="11" spans="1:9" s="15" customFormat="1" ht="14.25">
      <c r="A11" s="103" t="s">
        <v>746</v>
      </c>
      <c r="B11" s="22">
        <v>17.33</v>
      </c>
      <c r="C11" s="22">
        <f t="shared" si="0"/>
        <v>1.7329999999999999</v>
      </c>
      <c r="D11" s="22">
        <v>1040</v>
      </c>
      <c r="E11" s="84">
        <f t="shared" si="1"/>
        <v>5.641791044776119</v>
      </c>
      <c r="F11" s="84">
        <f t="shared" si="2"/>
        <v>24.70479104477612</v>
      </c>
      <c r="G11" s="145">
        <f t="shared" si="3"/>
        <v>1727.3589898507462</v>
      </c>
      <c r="H11" s="132">
        <f>1555+16</f>
        <v>1571</v>
      </c>
      <c r="I11" s="146">
        <f t="shared" si="4"/>
        <v>-156.35898985074618</v>
      </c>
    </row>
    <row r="12" spans="1:9" s="8" customFormat="1" ht="14.25">
      <c r="A12" s="104" t="s">
        <v>254</v>
      </c>
      <c r="B12" s="22">
        <f>35.99-2.04</f>
        <v>33.95</v>
      </c>
      <c r="C12" s="22">
        <f t="shared" si="0"/>
        <v>3.3950000000000005</v>
      </c>
      <c r="D12" s="22">
        <v>520</v>
      </c>
      <c r="E12" s="84">
        <f t="shared" si="1"/>
        <v>2.8208955223880596</v>
      </c>
      <c r="F12" s="84">
        <f t="shared" si="2"/>
        <v>40.16589552238806</v>
      </c>
      <c r="G12" s="145">
        <f t="shared" si="3"/>
        <v>2808.3994149253735</v>
      </c>
      <c r="H12" s="132">
        <v>3043</v>
      </c>
      <c r="I12" s="146">
        <f t="shared" si="4"/>
        <v>234.60058507462645</v>
      </c>
    </row>
    <row r="13" spans="1:9" s="15" customFormat="1" ht="14.25">
      <c r="A13" s="103" t="s">
        <v>1215</v>
      </c>
      <c r="B13" s="22">
        <v>23.42</v>
      </c>
      <c r="C13" s="22">
        <f t="shared" si="0"/>
        <v>2.342</v>
      </c>
      <c r="D13" s="22">
        <v>530</v>
      </c>
      <c r="E13" s="84">
        <f t="shared" si="1"/>
        <v>2.8751435132032146</v>
      </c>
      <c r="F13" s="84">
        <f t="shared" si="2"/>
        <v>28.637143513203213</v>
      </c>
      <c r="G13" s="145">
        <f t="shared" si="3"/>
        <v>2002.3090744431688</v>
      </c>
      <c r="H13" s="132">
        <f>1992+10</f>
        <v>2002</v>
      </c>
      <c r="I13" s="146">
        <f t="shared" si="4"/>
        <v>-0.30907444316881083</v>
      </c>
    </row>
    <row r="14" spans="1:10" s="8" customFormat="1" ht="14.25">
      <c r="A14" s="103" t="s">
        <v>224</v>
      </c>
      <c r="B14" s="85"/>
      <c r="C14" s="85"/>
      <c r="D14" s="22">
        <v>4570</v>
      </c>
      <c r="E14" s="84">
        <f t="shared" si="1"/>
        <v>24.791331802525832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8710</v>
      </c>
      <c r="E15" s="1">
        <v>47.25</v>
      </c>
      <c r="F15" s="113"/>
      <c r="G15" s="28"/>
      <c r="H15" s="28"/>
      <c r="I15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205</v>
      </c>
      <c r="B1" s="10">
        <v>42943</v>
      </c>
      <c r="C1" s="10"/>
      <c r="D1" s="10"/>
      <c r="E1" s="10"/>
      <c r="F1" s="11" t="s">
        <v>206</v>
      </c>
      <c r="G1" s="106">
        <v>72.671</v>
      </c>
      <c r="H1" s="8" t="s">
        <v>207</v>
      </c>
      <c r="J1" s="154"/>
    </row>
    <row r="2" s="8" customFormat="1" ht="14.25">
      <c r="A2" s="33" t="s">
        <v>1218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1219</v>
      </c>
      <c r="B4" s="22">
        <v>8.08</v>
      </c>
      <c r="C4" s="22">
        <f aca="true" t="shared" si="0" ref="C4:C13">B4*0.1</f>
        <v>0.808</v>
      </c>
      <c r="D4" s="22">
        <v>130</v>
      </c>
      <c r="E4" s="84">
        <f aca="true" t="shared" si="1" ref="E4:E16">D4/$D$17*$E$17</f>
        <v>0.6675804093567251</v>
      </c>
      <c r="F4" s="84">
        <f aca="true" t="shared" si="2" ref="F4:F13">B4+E4+C4</f>
        <v>9.555580409356725</v>
      </c>
      <c r="G4" s="145">
        <f aca="true" t="shared" si="3" ref="G4:G13">F4*$G$1</f>
        <v>694.4135839283626</v>
      </c>
      <c r="H4" s="132">
        <f>685+9</f>
        <v>694</v>
      </c>
      <c r="I4" s="146">
        <f aca="true" t="shared" si="4" ref="I4:I13">H4-G4</f>
        <v>-0.413583928362641</v>
      </c>
    </row>
    <row r="5" spans="1:9" s="15" customFormat="1" ht="14.25">
      <c r="A5" s="103" t="s">
        <v>174</v>
      </c>
      <c r="B5" s="22">
        <v>9.58</v>
      </c>
      <c r="C5" s="22">
        <f t="shared" si="0"/>
        <v>0.9580000000000001</v>
      </c>
      <c r="D5" s="22">
        <v>270</v>
      </c>
      <c r="E5" s="84">
        <f t="shared" si="1"/>
        <v>1.3865131578947367</v>
      </c>
      <c r="F5" s="84">
        <f>B5+E5+C5</f>
        <v>11.924513157894737</v>
      </c>
      <c r="G5" s="145">
        <f t="shared" si="3"/>
        <v>866.5662956973684</v>
      </c>
      <c r="H5" s="132">
        <v>825</v>
      </c>
      <c r="I5" s="146">
        <f>H5-G5</f>
        <v>-41.566295697368446</v>
      </c>
    </row>
    <row r="6" spans="1:9" s="15" customFormat="1" ht="14.25">
      <c r="A6" s="103" t="s">
        <v>127</v>
      </c>
      <c r="B6" s="22">
        <v>15.75</v>
      </c>
      <c r="C6" s="22">
        <f t="shared" si="0"/>
        <v>1.5750000000000002</v>
      </c>
      <c r="D6" s="22">
        <v>90</v>
      </c>
      <c r="E6" s="84">
        <f t="shared" si="1"/>
        <v>0.4621710526315789</v>
      </c>
      <c r="F6" s="84">
        <f t="shared" si="2"/>
        <v>17.787171052631578</v>
      </c>
      <c r="G6" s="145">
        <f t="shared" si="3"/>
        <v>1292.6115075657895</v>
      </c>
      <c r="H6" s="132">
        <v>1265</v>
      </c>
      <c r="I6" s="146">
        <f t="shared" si="4"/>
        <v>-27.611507565789452</v>
      </c>
    </row>
    <row r="7" spans="1:9" s="8" customFormat="1" ht="14.25">
      <c r="A7" s="104" t="s">
        <v>1220</v>
      </c>
      <c r="B7" s="22">
        <v>5.59</v>
      </c>
      <c r="C7" s="22">
        <f t="shared" si="0"/>
        <v>0.559</v>
      </c>
      <c r="D7" s="22">
        <v>50</v>
      </c>
      <c r="E7" s="84">
        <f t="shared" si="1"/>
        <v>0.2567616959064327</v>
      </c>
      <c r="F7" s="84">
        <f t="shared" si="2"/>
        <v>6.405761695906433</v>
      </c>
      <c r="G7" s="145">
        <f t="shared" si="3"/>
        <v>465.5131082032164</v>
      </c>
      <c r="H7" s="132">
        <v>489</v>
      </c>
      <c r="I7" s="146">
        <f t="shared" si="4"/>
        <v>23.486891796783596</v>
      </c>
    </row>
    <row r="8" spans="1:9" s="15" customFormat="1" ht="14.25">
      <c r="A8" s="103" t="s">
        <v>580</v>
      </c>
      <c r="B8" s="22">
        <v>8.26</v>
      </c>
      <c r="C8" s="22">
        <f t="shared" si="0"/>
        <v>0.8260000000000001</v>
      </c>
      <c r="D8" s="22">
        <v>360</v>
      </c>
      <c r="E8" s="84">
        <f t="shared" si="1"/>
        <v>1.8486842105263157</v>
      </c>
      <c r="F8" s="84">
        <f t="shared" si="2"/>
        <v>10.934684210526315</v>
      </c>
      <c r="G8" s="145">
        <f t="shared" si="3"/>
        <v>794.6344362631579</v>
      </c>
      <c r="H8" s="132">
        <v>748</v>
      </c>
      <c r="I8" s="146">
        <f t="shared" si="4"/>
        <v>-46.63443626315791</v>
      </c>
    </row>
    <row r="9" spans="1:9" s="15" customFormat="1" ht="14.25">
      <c r="A9" s="103" t="s">
        <v>126</v>
      </c>
      <c r="B9" s="22">
        <v>6.42</v>
      </c>
      <c r="C9" s="22">
        <f t="shared" si="0"/>
        <v>0.642</v>
      </c>
      <c r="D9" s="22">
        <v>430</v>
      </c>
      <c r="E9" s="84">
        <f t="shared" si="1"/>
        <v>2.2081505847953213</v>
      </c>
      <c r="F9" s="84">
        <f t="shared" si="2"/>
        <v>9.27015058479532</v>
      </c>
      <c r="G9" s="145">
        <f t="shared" si="3"/>
        <v>673.6711131476608</v>
      </c>
      <c r="H9" s="132">
        <v>679</v>
      </c>
      <c r="I9" s="146">
        <f t="shared" si="4"/>
        <v>5.328886852339224</v>
      </c>
    </row>
    <row r="10" spans="1:9" s="15" customFormat="1" ht="14.25">
      <c r="A10" s="103" t="s">
        <v>1221</v>
      </c>
      <c r="B10" s="22">
        <v>5.59</v>
      </c>
      <c r="C10" s="22">
        <f t="shared" si="0"/>
        <v>0.559</v>
      </c>
      <c r="D10" s="22">
        <v>60</v>
      </c>
      <c r="E10" s="84">
        <f t="shared" si="1"/>
        <v>0.3081140350877193</v>
      </c>
      <c r="F10" s="84">
        <f t="shared" si="2"/>
        <v>6.457114035087719</v>
      </c>
      <c r="G10" s="145">
        <f t="shared" si="3"/>
        <v>469.2449340438597</v>
      </c>
      <c r="H10" s="132">
        <v>478</v>
      </c>
      <c r="I10" s="146">
        <f t="shared" si="4"/>
        <v>8.7550659561403</v>
      </c>
    </row>
    <row r="11" spans="1:9" s="15" customFormat="1" ht="14.25">
      <c r="A11" s="103" t="s">
        <v>963</v>
      </c>
      <c r="B11" s="22">
        <v>12.08</v>
      </c>
      <c r="C11" s="22">
        <f t="shared" si="0"/>
        <v>1.2080000000000002</v>
      </c>
      <c r="D11" s="22">
        <v>460</v>
      </c>
      <c r="E11" s="84">
        <f t="shared" si="1"/>
        <v>2.3622076023391814</v>
      </c>
      <c r="F11" s="84">
        <f t="shared" si="2"/>
        <v>15.650207602339181</v>
      </c>
      <c r="G11" s="145">
        <f t="shared" si="3"/>
        <v>1137.3162366695908</v>
      </c>
      <c r="H11" s="132">
        <f>1122+15</f>
        <v>1137</v>
      </c>
      <c r="I11" s="146">
        <f t="shared" si="4"/>
        <v>-0.31623666959080765</v>
      </c>
    </row>
    <row r="12" spans="1:9" s="8" customFormat="1" ht="14.25">
      <c r="A12" s="104" t="s">
        <v>1121</v>
      </c>
      <c r="B12" s="22">
        <v>57.33</v>
      </c>
      <c r="C12" s="22">
        <f t="shared" si="0"/>
        <v>5.7330000000000005</v>
      </c>
      <c r="D12" s="22">
        <v>590</v>
      </c>
      <c r="E12" s="84">
        <f t="shared" si="1"/>
        <v>3.0297880116959064</v>
      </c>
      <c r="F12" s="84">
        <f t="shared" si="2"/>
        <v>66.0927880116959</v>
      </c>
      <c r="G12" s="145">
        <f t="shared" si="3"/>
        <v>4803.028997597953</v>
      </c>
      <c r="H12" s="132">
        <f>4724+79</f>
        <v>4803</v>
      </c>
      <c r="I12" s="146">
        <f t="shared" si="4"/>
        <v>-0.028997597953093646</v>
      </c>
    </row>
    <row r="13" spans="1:9" s="15" customFormat="1" ht="14.25">
      <c r="A13" s="103" t="s">
        <v>630</v>
      </c>
      <c r="B13" s="22">
        <v>16.58</v>
      </c>
      <c r="C13" s="22">
        <f t="shared" si="0"/>
        <v>1.658</v>
      </c>
      <c r="D13" s="22">
        <v>1100</v>
      </c>
      <c r="E13" s="84">
        <f t="shared" si="1"/>
        <v>5.64875730994152</v>
      </c>
      <c r="F13" s="84">
        <f t="shared" si="2"/>
        <v>23.88675730994152</v>
      </c>
      <c r="G13" s="145">
        <f t="shared" si="3"/>
        <v>1735.8745404707602</v>
      </c>
      <c r="H13" s="132">
        <f>1726+9</f>
        <v>1735</v>
      </c>
      <c r="I13" s="146">
        <f t="shared" si="4"/>
        <v>-0.8745404707601665</v>
      </c>
    </row>
    <row r="14" spans="1:9" s="15" customFormat="1" ht="14.25">
      <c r="A14" s="103" t="s">
        <v>1056</v>
      </c>
      <c r="B14" s="22">
        <v>27.74</v>
      </c>
      <c r="C14" s="22">
        <f>B14*0.1</f>
        <v>2.774</v>
      </c>
      <c r="D14" s="22">
        <v>520</v>
      </c>
      <c r="E14" s="84">
        <f>D14/$D$17*$E$17</f>
        <v>2.6703216374269005</v>
      </c>
      <c r="F14" s="84">
        <f>B14+E14+C14</f>
        <v>33.1843216374269</v>
      </c>
      <c r="G14" s="145">
        <f>F14*$G$1</f>
        <v>2411.5378377134502</v>
      </c>
      <c r="H14" s="132">
        <f>2404+44</f>
        <v>2448</v>
      </c>
      <c r="I14" s="146">
        <f>H14-G14</f>
        <v>36.462162286549756</v>
      </c>
    </row>
    <row r="15" spans="1:9" s="15" customFormat="1" ht="14.25">
      <c r="A15" s="103" t="s">
        <v>155</v>
      </c>
      <c r="B15" s="22">
        <v>8.92</v>
      </c>
      <c r="C15" s="22">
        <f>B15*0.1</f>
        <v>0.892</v>
      </c>
      <c r="D15" s="22">
        <v>220</v>
      </c>
      <c r="E15" s="84">
        <f>D15/$D$17*$E$17</f>
        <v>1.129751461988304</v>
      </c>
      <c r="F15" s="84">
        <f>B15+E15+C15</f>
        <v>10.941751461988304</v>
      </c>
      <c r="G15" s="145">
        <f>F15*$G$1</f>
        <v>795.1480204941521</v>
      </c>
      <c r="H15" s="132">
        <v>785</v>
      </c>
      <c r="I15" s="146">
        <f>H15-G15</f>
        <v>-10.148020494152092</v>
      </c>
    </row>
    <row r="16" spans="1:10" s="8" customFormat="1" ht="14.25">
      <c r="A16" s="103"/>
      <c r="B16" s="85"/>
      <c r="C16" s="85"/>
      <c r="D16" s="22">
        <v>9400</v>
      </c>
      <c r="E16" s="84">
        <f t="shared" si="1"/>
        <v>48.271198830409354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13680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35.00390625" style="0" customWidth="1"/>
  </cols>
  <sheetData>
    <row r="1" spans="1:10" s="8" customFormat="1" ht="21">
      <c r="A1" s="9" t="s">
        <v>205</v>
      </c>
      <c r="B1" s="10">
        <v>42958</v>
      </c>
      <c r="C1" s="10"/>
      <c r="D1" s="10"/>
      <c r="E1" s="10"/>
      <c r="F1" s="11" t="s">
        <v>206</v>
      </c>
      <c r="G1" s="106">
        <v>72.715</v>
      </c>
      <c r="H1" s="8" t="s">
        <v>207</v>
      </c>
      <c r="J1" s="154"/>
    </row>
    <row r="2" s="8" customFormat="1" ht="14.25">
      <c r="A2" s="33" t="s">
        <v>1225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1202</v>
      </c>
      <c r="B4" s="22">
        <v>8.25</v>
      </c>
      <c r="C4" s="22">
        <f aca="true" t="shared" si="0" ref="C4:C12">B4*0.1</f>
        <v>0.8250000000000001</v>
      </c>
      <c r="D4" s="108">
        <v>240</v>
      </c>
      <c r="E4" s="84">
        <f aca="true" t="shared" si="1" ref="E4:E19">D4/$D$20*$E$20</f>
        <v>1.2447859495060374</v>
      </c>
      <c r="F4" s="84">
        <f aca="true" t="shared" si="2" ref="F4:F12">B4+E4+C4</f>
        <v>10.319785949506036</v>
      </c>
      <c r="G4" s="145">
        <f aca="true" t="shared" si="3" ref="G4:G12">F4*$G$1</f>
        <v>750.4032353183314</v>
      </c>
      <c r="H4" s="132">
        <v>756</v>
      </c>
      <c r="I4" s="146">
        <f aca="true" t="shared" si="4" ref="I4:I12">H4-G4</f>
        <v>5.59676468166856</v>
      </c>
    </row>
    <row r="5" spans="1:9" s="15" customFormat="1" ht="14.25">
      <c r="A5" s="103" t="s">
        <v>495</v>
      </c>
      <c r="B5" s="22">
        <v>8.25</v>
      </c>
      <c r="C5" s="22">
        <f t="shared" si="0"/>
        <v>0.8250000000000001</v>
      </c>
      <c r="D5" s="108">
        <v>110</v>
      </c>
      <c r="E5" s="84">
        <f t="shared" si="1"/>
        <v>0.5705268935236004</v>
      </c>
      <c r="F5" s="84">
        <f>B5+E5+C5</f>
        <v>9.6455268935236</v>
      </c>
      <c r="G5" s="145">
        <f t="shared" si="3"/>
        <v>701.3744880625686</v>
      </c>
      <c r="H5" s="132">
        <v>699</v>
      </c>
      <c r="I5" s="146">
        <f>H5-G5</f>
        <v>-2.3744880625686164</v>
      </c>
    </row>
    <row r="6" spans="1:9" s="15" customFormat="1" ht="14.25">
      <c r="A6" s="103" t="s">
        <v>1220</v>
      </c>
      <c r="B6" s="22">
        <v>9.08</v>
      </c>
      <c r="C6" s="22">
        <f t="shared" si="0"/>
        <v>0.908</v>
      </c>
      <c r="D6" s="108">
        <v>240</v>
      </c>
      <c r="E6" s="84">
        <f t="shared" si="1"/>
        <v>1.2447859495060374</v>
      </c>
      <c r="F6" s="84">
        <f t="shared" si="2"/>
        <v>11.232785949506036</v>
      </c>
      <c r="G6" s="145">
        <f t="shared" si="3"/>
        <v>816.7920303183315</v>
      </c>
      <c r="H6" s="132">
        <v>794</v>
      </c>
      <c r="I6" s="146">
        <f t="shared" si="4"/>
        <v>-22.792030318331513</v>
      </c>
    </row>
    <row r="7" spans="1:9" s="8" customFormat="1" ht="14.25">
      <c r="A7" s="104" t="s">
        <v>127</v>
      </c>
      <c r="B7" s="108">
        <v>3.67</v>
      </c>
      <c r="C7" s="22">
        <f t="shared" si="0"/>
        <v>0.367</v>
      </c>
      <c r="D7" s="22">
        <v>80</v>
      </c>
      <c r="E7" s="84">
        <f t="shared" si="1"/>
        <v>0.4149286498353458</v>
      </c>
      <c r="F7" s="84">
        <f t="shared" si="2"/>
        <v>4.451928649835346</v>
      </c>
      <c r="G7" s="145">
        <f t="shared" si="3"/>
        <v>323.7219917727772</v>
      </c>
      <c r="H7" s="132">
        <v>353</v>
      </c>
      <c r="I7" s="146">
        <f t="shared" si="4"/>
        <v>29.278008227222813</v>
      </c>
    </row>
    <row r="8" spans="1:9" s="15" customFormat="1" ht="14.25">
      <c r="A8" s="103" t="s">
        <v>1226</v>
      </c>
      <c r="B8" s="22">
        <v>7.42</v>
      </c>
      <c r="C8" s="22">
        <f t="shared" si="0"/>
        <v>0.742</v>
      </c>
      <c r="D8" s="22">
        <v>60</v>
      </c>
      <c r="E8" s="84">
        <f t="shared" si="1"/>
        <v>0.31119648737650935</v>
      </c>
      <c r="F8" s="84">
        <f t="shared" si="2"/>
        <v>8.473196487376509</v>
      </c>
      <c r="G8" s="145">
        <f t="shared" si="3"/>
        <v>616.1284825795829</v>
      </c>
      <c r="H8" s="132">
        <v>616</v>
      </c>
      <c r="I8" s="146">
        <f t="shared" si="4"/>
        <v>-0.12848257958285103</v>
      </c>
    </row>
    <row r="9" spans="1:9" s="15" customFormat="1" ht="14.25">
      <c r="A9" s="103" t="s">
        <v>630</v>
      </c>
      <c r="B9" s="22">
        <v>39.86</v>
      </c>
      <c r="C9" s="22">
        <f t="shared" si="0"/>
        <v>3.986</v>
      </c>
      <c r="D9" s="22">
        <v>640</v>
      </c>
      <c r="E9" s="84">
        <f t="shared" si="1"/>
        <v>3.319429198682766</v>
      </c>
      <c r="F9" s="84">
        <f t="shared" si="2"/>
        <v>47.165429198682766</v>
      </c>
      <c r="G9" s="145">
        <f t="shared" si="3"/>
        <v>3429.6341841822173</v>
      </c>
      <c r="H9" s="119">
        <f>3250+180</f>
        <v>3430</v>
      </c>
      <c r="I9" s="146">
        <f t="shared" si="4"/>
        <v>0.36581581778273176</v>
      </c>
    </row>
    <row r="10" spans="1:9" s="15" customFormat="1" ht="14.25">
      <c r="A10" s="103" t="s">
        <v>897</v>
      </c>
      <c r="B10" s="22">
        <v>9.16</v>
      </c>
      <c r="C10" s="22">
        <f t="shared" si="0"/>
        <v>0.916</v>
      </c>
      <c r="D10" s="22">
        <v>330</v>
      </c>
      <c r="E10" s="84">
        <f t="shared" si="1"/>
        <v>1.7115806805708014</v>
      </c>
      <c r="F10" s="84">
        <f t="shared" si="2"/>
        <v>11.787580680570802</v>
      </c>
      <c r="G10" s="145">
        <f t="shared" si="3"/>
        <v>857.1339291877059</v>
      </c>
      <c r="H10" s="132">
        <v>878</v>
      </c>
      <c r="I10" s="146">
        <f t="shared" si="4"/>
        <v>20.866070812294083</v>
      </c>
    </row>
    <row r="11" spans="1:9" s="8" customFormat="1" ht="14.25">
      <c r="A11" s="104" t="s">
        <v>178</v>
      </c>
      <c r="B11" s="22">
        <v>9.58</v>
      </c>
      <c r="C11" s="22">
        <f t="shared" si="0"/>
        <v>0.9580000000000001</v>
      </c>
      <c r="D11" s="22">
        <v>190</v>
      </c>
      <c r="E11" s="84">
        <f t="shared" si="1"/>
        <v>0.9854555433589463</v>
      </c>
      <c r="F11" s="84">
        <f t="shared" si="2"/>
        <v>11.523455543358947</v>
      </c>
      <c r="G11" s="145">
        <f t="shared" si="3"/>
        <v>837.9280698353459</v>
      </c>
      <c r="H11" s="132">
        <v>837</v>
      </c>
      <c r="I11" s="146">
        <f t="shared" si="4"/>
        <v>-0.9280698353459229</v>
      </c>
    </row>
    <row r="12" spans="1:9" s="15" customFormat="1" ht="14.25">
      <c r="A12" s="103" t="s">
        <v>927</v>
      </c>
      <c r="B12" s="22">
        <v>8.33</v>
      </c>
      <c r="C12" s="22">
        <f t="shared" si="0"/>
        <v>0.8330000000000001</v>
      </c>
      <c r="D12" s="22">
        <v>50</v>
      </c>
      <c r="E12" s="84">
        <f t="shared" si="1"/>
        <v>0.25933040614709113</v>
      </c>
      <c r="F12" s="84">
        <f t="shared" si="2"/>
        <v>9.422330406147092</v>
      </c>
      <c r="G12" s="145">
        <f t="shared" si="3"/>
        <v>685.1447554829858</v>
      </c>
      <c r="H12" s="132">
        <v>685</v>
      </c>
      <c r="I12" s="146">
        <f t="shared" si="4"/>
        <v>-0.14475548298582908</v>
      </c>
    </row>
    <row r="13" spans="1:9" s="15" customFormat="1" ht="14.25">
      <c r="A13" s="103" t="s">
        <v>933</v>
      </c>
      <c r="B13" s="108">
        <v>10.75</v>
      </c>
      <c r="C13" s="22">
        <f aca="true" t="shared" si="5" ref="C13:C18">B13*0.1</f>
        <v>1.075</v>
      </c>
      <c r="D13" s="22">
        <v>75</v>
      </c>
      <c r="E13" s="84">
        <f t="shared" si="1"/>
        <v>0.38899560922063664</v>
      </c>
      <c r="F13" s="84">
        <f aca="true" t="shared" si="6" ref="F13:F18">B13+E13+C13</f>
        <v>12.213995609220635</v>
      </c>
      <c r="G13" s="145">
        <f aca="true" t="shared" si="7" ref="G13:G18">F13*$G$1</f>
        <v>888.1406907244785</v>
      </c>
      <c r="H13" s="132">
        <f>886+12</f>
        <v>898</v>
      </c>
      <c r="I13" s="146">
        <f aca="true" t="shared" si="8" ref="I13:I18">H13-G13</f>
        <v>9.859309275521468</v>
      </c>
    </row>
    <row r="14" spans="1:10" s="15" customFormat="1" ht="14.25">
      <c r="A14" s="103" t="s">
        <v>24</v>
      </c>
      <c r="B14" s="22">
        <v>37.83</v>
      </c>
      <c r="C14" s="22">
        <f t="shared" si="5"/>
        <v>3.783</v>
      </c>
      <c r="D14" s="22">
        <v>560</v>
      </c>
      <c r="E14" s="84">
        <f t="shared" si="1"/>
        <v>2.9045005488474205</v>
      </c>
      <c r="F14" s="84">
        <f t="shared" si="6"/>
        <v>44.51750054884742</v>
      </c>
      <c r="G14" s="145">
        <f t="shared" si="7"/>
        <v>3237.0900524094404</v>
      </c>
      <c r="H14" s="132">
        <f>3343-110</f>
        <v>3233</v>
      </c>
      <c r="I14" s="146">
        <f t="shared" si="8"/>
        <v>-4.090052409440432</v>
      </c>
      <c r="J14" s="198" t="s">
        <v>1249</v>
      </c>
    </row>
    <row r="15" spans="1:9" s="15" customFormat="1" ht="14.25">
      <c r="A15" s="103" t="s">
        <v>1227</v>
      </c>
      <c r="B15" s="22">
        <v>31.08</v>
      </c>
      <c r="C15" s="22">
        <f t="shared" si="5"/>
        <v>3.108</v>
      </c>
      <c r="D15" s="22">
        <v>470</v>
      </c>
      <c r="E15" s="84">
        <f t="shared" si="1"/>
        <v>2.4377058177826565</v>
      </c>
      <c r="F15" s="84">
        <f t="shared" si="6"/>
        <v>36.62570581778265</v>
      </c>
      <c r="G15" s="145">
        <f t="shared" si="7"/>
        <v>2663.2381985400657</v>
      </c>
      <c r="H15" s="119">
        <f>2650+13</f>
        <v>2663</v>
      </c>
      <c r="I15" s="146">
        <f t="shared" si="8"/>
        <v>-0.23819854006569585</v>
      </c>
    </row>
    <row r="16" spans="1:9" s="15" customFormat="1" ht="14.25">
      <c r="A16" s="103" t="s">
        <v>1070</v>
      </c>
      <c r="B16" s="22">
        <v>63.08</v>
      </c>
      <c r="C16" s="22">
        <f t="shared" si="5"/>
        <v>6.308</v>
      </c>
      <c r="D16" s="22">
        <v>275</v>
      </c>
      <c r="E16" s="84">
        <f t="shared" si="1"/>
        <v>1.426317233809001</v>
      </c>
      <c r="F16" s="84">
        <f t="shared" si="6"/>
        <v>70.81431723380899</v>
      </c>
      <c r="G16" s="145">
        <f t="shared" si="7"/>
        <v>5149.263077656421</v>
      </c>
      <c r="H16" s="119">
        <f>5105+44</f>
        <v>5149</v>
      </c>
      <c r="I16" s="146">
        <f t="shared" si="8"/>
        <v>-0.2630776564210464</v>
      </c>
    </row>
    <row r="17" spans="1:9" s="15" customFormat="1" ht="14.25">
      <c r="A17" s="103" t="s">
        <v>1120</v>
      </c>
      <c r="B17" s="22">
        <v>21.42</v>
      </c>
      <c r="C17" s="22">
        <f t="shared" si="5"/>
        <v>2.1420000000000003</v>
      </c>
      <c r="D17" s="22">
        <v>420</v>
      </c>
      <c r="E17" s="84">
        <f t="shared" si="1"/>
        <v>2.178375411635565</v>
      </c>
      <c r="F17" s="84">
        <f t="shared" si="6"/>
        <v>25.740375411635565</v>
      </c>
      <c r="G17" s="145">
        <f t="shared" si="7"/>
        <v>1871.7113980570803</v>
      </c>
      <c r="H17" s="119">
        <f>1840+50</f>
        <v>1890</v>
      </c>
      <c r="I17" s="146">
        <f t="shared" si="8"/>
        <v>18.28860194291974</v>
      </c>
    </row>
    <row r="18" spans="1:9" s="15" customFormat="1" ht="14.25">
      <c r="A18" s="103" t="s">
        <v>1228</v>
      </c>
      <c r="B18" s="22">
        <v>20.26</v>
      </c>
      <c r="C18" s="22">
        <f t="shared" si="5"/>
        <v>2.0260000000000002</v>
      </c>
      <c r="D18" s="22">
        <v>1260</v>
      </c>
      <c r="E18" s="84">
        <f t="shared" si="1"/>
        <v>6.535126234906697</v>
      </c>
      <c r="F18" s="84">
        <f t="shared" si="6"/>
        <v>28.821126234906696</v>
      </c>
      <c r="G18" s="145">
        <f t="shared" si="7"/>
        <v>2095.7281941712404</v>
      </c>
      <c r="H18" s="132">
        <f>500+1603</f>
        <v>2103</v>
      </c>
      <c r="I18" s="146">
        <f t="shared" si="8"/>
        <v>7.271805828759625</v>
      </c>
    </row>
    <row r="19" spans="1:10" s="8" customFormat="1" ht="14.25">
      <c r="A19" s="103" t="s">
        <v>224</v>
      </c>
      <c r="B19" s="85"/>
      <c r="C19" s="85"/>
      <c r="D19" s="22">
        <v>4110</v>
      </c>
      <c r="E19" s="84">
        <f t="shared" si="1"/>
        <v>21.31695938529089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9110</v>
      </c>
      <c r="E20" s="1">
        <v>47.25</v>
      </c>
      <c r="F20" s="113"/>
      <c r="G20" s="28"/>
      <c r="H20" s="28"/>
      <c r="I20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205</v>
      </c>
      <c r="B1" s="10">
        <v>41375</v>
      </c>
      <c r="C1" s="10"/>
      <c r="D1" s="11" t="s">
        <v>206</v>
      </c>
      <c r="E1" s="12">
        <v>41.22</v>
      </c>
      <c r="G1" s="8" t="s">
        <v>207</v>
      </c>
    </row>
    <row r="2" s="8" customFormat="1" ht="23.25" customHeight="1">
      <c r="A2" s="33" t="s">
        <v>248</v>
      </c>
    </row>
    <row r="3" spans="1:9" s="15" customFormat="1" ht="57.7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245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202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179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249</v>
      </c>
    </row>
    <row r="12" spans="1:9" s="8" customFormat="1" ht="14.25">
      <c r="A12" s="4" t="s">
        <v>250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251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224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70" zoomScaleNormal="7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205</v>
      </c>
      <c r="B1" s="10" t="s">
        <v>1236</v>
      </c>
      <c r="C1" s="10"/>
      <c r="D1" s="10"/>
      <c r="E1" s="10"/>
      <c r="F1" s="11" t="s">
        <v>206</v>
      </c>
      <c r="G1" s="106">
        <v>71.583</v>
      </c>
      <c r="H1" s="8" t="s">
        <v>207</v>
      </c>
      <c r="J1" s="154"/>
    </row>
    <row r="2" s="8" customFormat="1" ht="14.25">
      <c r="A2" s="33" t="s">
        <v>1237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1153</v>
      </c>
      <c r="B4" s="22">
        <v>9.08</v>
      </c>
      <c r="C4" s="22">
        <f aca="true" t="shared" si="0" ref="C4:C17">B4*0.1</f>
        <v>0.908</v>
      </c>
      <c r="D4" s="108">
        <v>480</v>
      </c>
      <c r="E4" s="84">
        <f aca="true" t="shared" si="1" ref="E4:E18">D4/$D$19*$E$19</f>
        <v>2.5061315496098104</v>
      </c>
      <c r="F4" s="84">
        <f aca="true" t="shared" si="2" ref="F4:F17">B4+E4+C4</f>
        <v>12.49413154960981</v>
      </c>
      <c r="G4" s="145">
        <f aca="true" t="shared" si="3" ref="G4:G17">F4*$G$1</f>
        <v>894.3674187157189</v>
      </c>
      <c r="H4" s="119">
        <f>891+3</f>
        <v>894</v>
      </c>
      <c r="I4" s="146">
        <f aca="true" t="shared" si="4" ref="I4:I17">H4-G4</f>
        <v>-0.3674187157189408</v>
      </c>
    </row>
    <row r="5" spans="1:9" s="15" customFormat="1" ht="14.25">
      <c r="A5" s="103" t="s">
        <v>418</v>
      </c>
      <c r="B5" s="22">
        <v>10.42</v>
      </c>
      <c r="C5" s="22">
        <f t="shared" si="0"/>
        <v>1.042</v>
      </c>
      <c r="D5" s="108">
        <v>555</v>
      </c>
      <c r="E5" s="84">
        <f t="shared" si="1"/>
        <v>2.8977146042363433</v>
      </c>
      <c r="F5" s="84">
        <f>B5+E5+C5</f>
        <v>14.359714604236343</v>
      </c>
      <c r="G5" s="145">
        <f t="shared" si="3"/>
        <v>1027.91145051505</v>
      </c>
      <c r="H5" s="119">
        <v>1020</v>
      </c>
      <c r="I5" s="146">
        <f>H5-G5</f>
        <v>-7.911450515050092</v>
      </c>
    </row>
    <row r="6" spans="1:9" s="15" customFormat="1" ht="14.25">
      <c r="A6" s="103" t="s">
        <v>508</v>
      </c>
      <c r="B6" s="22">
        <v>12.08</v>
      </c>
      <c r="C6" s="22">
        <f t="shared" si="0"/>
        <v>1.2080000000000002</v>
      </c>
      <c r="D6" s="108">
        <v>85</v>
      </c>
      <c r="E6" s="84">
        <f t="shared" si="1"/>
        <v>0.4437941285767373</v>
      </c>
      <c r="F6" s="84">
        <f t="shared" si="2"/>
        <v>13.731794128576738</v>
      </c>
      <c r="G6" s="145">
        <f t="shared" si="3"/>
        <v>982.9630191059085</v>
      </c>
      <c r="H6" s="132">
        <v>982</v>
      </c>
      <c r="I6" s="146">
        <f t="shared" si="4"/>
        <v>-0.9630191059085291</v>
      </c>
    </row>
    <row r="7" spans="1:9" s="8" customFormat="1" ht="14.25">
      <c r="A7" s="104" t="s">
        <v>693</v>
      </c>
      <c r="B7" s="108">
        <v>9.58</v>
      </c>
      <c r="C7" s="22">
        <f t="shared" si="0"/>
        <v>0.9580000000000001</v>
      </c>
      <c r="D7" s="22">
        <v>65</v>
      </c>
      <c r="E7" s="84">
        <f t="shared" si="1"/>
        <v>0.3393719806763285</v>
      </c>
      <c r="F7" s="84">
        <f t="shared" si="2"/>
        <v>10.87737198067633</v>
      </c>
      <c r="G7" s="145">
        <f t="shared" si="3"/>
        <v>778.6349184927537</v>
      </c>
      <c r="H7" s="119">
        <v>782</v>
      </c>
      <c r="I7" s="146">
        <f t="shared" si="4"/>
        <v>3.365081507246259</v>
      </c>
    </row>
    <row r="8" spans="1:9" s="15" customFormat="1" ht="14.25">
      <c r="A8" s="103" t="s">
        <v>788</v>
      </c>
      <c r="B8" s="22">
        <v>11.58</v>
      </c>
      <c r="C8" s="22">
        <f t="shared" si="0"/>
        <v>1.1580000000000001</v>
      </c>
      <c r="D8" s="22">
        <v>485</v>
      </c>
      <c r="E8" s="84">
        <f t="shared" si="1"/>
        <v>2.5322370865849124</v>
      </c>
      <c r="F8" s="84">
        <f t="shared" si="2"/>
        <v>15.270237086584912</v>
      </c>
      <c r="G8" s="145">
        <f t="shared" si="3"/>
        <v>1093.0893813690077</v>
      </c>
      <c r="H8" s="119">
        <f>1085+8</f>
        <v>1093</v>
      </c>
      <c r="I8" s="146">
        <f t="shared" si="4"/>
        <v>-0.08938136900769678</v>
      </c>
    </row>
    <row r="9" spans="1:9" s="15" customFormat="1" ht="14.25">
      <c r="A9" s="103" t="s">
        <v>607</v>
      </c>
      <c r="B9" s="22">
        <v>8.25</v>
      </c>
      <c r="C9" s="22">
        <f t="shared" si="0"/>
        <v>0.8250000000000001</v>
      </c>
      <c r="D9" s="22">
        <v>350</v>
      </c>
      <c r="E9" s="84">
        <f t="shared" si="1"/>
        <v>1.8273875882571535</v>
      </c>
      <c r="F9" s="84">
        <f t="shared" si="2"/>
        <v>10.902387588257152</v>
      </c>
      <c r="G9" s="145">
        <f t="shared" si="3"/>
        <v>780.4256107302117</v>
      </c>
      <c r="H9" s="119">
        <v>800</v>
      </c>
      <c r="I9" s="146">
        <f t="shared" si="4"/>
        <v>19.5743892697883</v>
      </c>
    </row>
    <row r="10" spans="1:9" s="15" customFormat="1" ht="14.25">
      <c r="A10" s="103" t="s">
        <v>1214</v>
      </c>
      <c r="B10" s="22">
        <v>8.25</v>
      </c>
      <c r="C10" s="22">
        <f t="shared" si="0"/>
        <v>0.8250000000000001</v>
      </c>
      <c r="D10" s="22">
        <v>350</v>
      </c>
      <c r="E10" s="84">
        <f t="shared" si="1"/>
        <v>1.8273875882571535</v>
      </c>
      <c r="F10" s="84">
        <f t="shared" si="2"/>
        <v>10.902387588257152</v>
      </c>
      <c r="G10" s="145">
        <f t="shared" si="3"/>
        <v>780.4256107302117</v>
      </c>
      <c r="H10" s="132">
        <v>787</v>
      </c>
      <c r="I10" s="146">
        <f t="shared" si="4"/>
        <v>6.574389269788298</v>
      </c>
    </row>
    <row r="11" spans="1:9" s="8" customFormat="1" ht="14.25">
      <c r="A11" s="104" t="s">
        <v>1238</v>
      </c>
      <c r="B11" s="22">
        <v>8.25</v>
      </c>
      <c r="C11" s="22">
        <f t="shared" si="0"/>
        <v>0.8250000000000001</v>
      </c>
      <c r="D11" s="22">
        <v>85</v>
      </c>
      <c r="E11" s="84">
        <f t="shared" si="1"/>
        <v>0.4437941285767373</v>
      </c>
      <c r="F11" s="84">
        <f t="shared" si="2"/>
        <v>9.518794128576737</v>
      </c>
      <c r="G11" s="145">
        <f t="shared" si="3"/>
        <v>681.3838401059086</v>
      </c>
      <c r="H11" s="132">
        <v>679</v>
      </c>
      <c r="I11" s="146">
        <f t="shared" si="4"/>
        <v>-2.3838401059085754</v>
      </c>
    </row>
    <row r="12" spans="1:9" s="15" customFormat="1" ht="14.25">
      <c r="A12" s="103" t="s">
        <v>134</v>
      </c>
      <c r="B12" s="22">
        <v>24.6</v>
      </c>
      <c r="C12" s="22">
        <f t="shared" si="0"/>
        <v>2.4600000000000004</v>
      </c>
      <c r="D12" s="22">
        <v>140</v>
      </c>
      <c r="E12" s="84">
        <f t="shared" si="1"/>
        <v>0.7309550353028613</v>
      </c>
      <c r="F12" s="84">
        <f t="shared" si="2"/>
        <v>27.790955035302865</v>
      </c>
      <c r="G12" s="145">
        <f t="shared" si="3"/>
        <v>1989.359934292085</v>
      </c>
      <c r="H12" s="132">
        <f>1960+20</f>
        <v>1980</v>
      </c>
      <c r="I12" s="146">
        <f t="shared" si="4"/>
        <v>-9.359934292084972</v>
      </c>
    </row>
    <row r="13" spans="1:9" s="15" customFormat="1" ht="14.25">
      <c r="A13" s="103" t="s">
        <v>1239</v>
      </c>
      <c r="B13" s="108">
        <v>5.93</v>
      </c>
      <c r="C13" s="22">
        <f t="shared" si="0"/>
        <v>0.593</v>
      </c>
      <c r="D13" s="22">
        <v>210</v>
      </c>
      <c r="E13" s="84">
        <f t="shared" si="1"/>
        <v>1.0964325529542922</v>
      </c>
      <c r="F13" s="84">
        <f t="shared" si="2"/>
        <v>7.619432552954292</v>
      </c>
      <c r="G13" s="145">
        <f t="shared" si="3"/>
        <v>545.4218404381271</v>
      </c>
      <c r="H13" s="132">
        <v>549</v>
      </c>
      <c r="I13" s="146">
        <f t="shared" si="4"/>
        <v>3.5781595618728943</v>
      </c>
    </row>
    <row r="14" spans="1:9" s="15" customFormat="1" ht="14.25">
      <c r="A14" s="103" t="s">
        <v>1240</v>
      </c>
      <c r="B14" s="22">
        <v>16.58</v>
      </c>
      <c r="C14" s="22">
        <f t="shared" si="0"/>
        <v>1.658</v>
      </c>
      <c r="D14" s="22">
        <v>30</v>
      </c>
      <c r="E14" s="84">
        <f t="shared" si="1"/>
        <v>0.15663322185061315</v>
      </c>
      <c r="F14" s="84">
        <f t="shared" si="2"/>
        <v>18.39463322185061</v>
      </c>
      <c r="G14" s="145">
        <f t="shared" si="3"/>
        <v>1316.7430299197322</v>
      </c>
      <c r="H14" s="119">
        <v>1315</v>
      </c>
      <c r="I14" s="146">
        <f t="shared" si="4"/>
        <v>-1.7430299197321801</v>
      </c>
    </row>
    <row r="15" spans="1:9" s="15" customFormat="1" ht="14.25">
      <c r="A15" s="103" t="s">
        <v>126</v>
      </c>
      <c r="B15" s="22">
        <v>11.91</v>
      </c>
      <c r="C15" s="22">
        <f t="shared" si="0"/>
        <v>1.191</v>
      </c>
      <c r="D15" s="22">
        <v>470</v>
      </c>
      <c r="E15" s="84">
        <f t="shared" si="1"/>
        <v>2.453920475659606</v>
      </c>
      <c r="F15" s="84">
        <f t="shared" si="2"/>
        <v>15.554920475659607</v>
      </c>
      <c r="G15" s="145">
        <f t="shared" si="3"/>
        <v>1113.4678724091416</v>
      </c>
      <c r="H15" s="119">
        <v>1091</v>
      </c>
      <c r="I15" s="146">
        <f t="shared" si="4"/>
        <v>-22.46787240914159</v>
      </c>
    </row>
    <row r="16" spans="1:9" s="15" customFormat="1" ht="14.25">
      <c r="A16" s="103" t="s">
        <v>1241</v>
      </c>
      <c r="B16" s="22">
        <v>19.42</v>
      </c>
      <c r="C16" s="22">
        <f t="shared" si="0"/>
        <v>1.9420000000000002</v>
      </c>
      <c r="D16" s="22">
        <v>725</v>
      </c>
      <c r="E16" s="84">
        <f t="shared" si="1"/>
        <v>3.785302861389818</v>
      </c>
      <c r="F16" s="84">
        <f t="shared" si="2"/>
        <v>25.147302861389818</v>
      </c>
      <c r="G16" s="145">
        <f t="shared" si="3"/>
        <v>1800.1193807268673</v>
      </c>
      <c r="H16" s="119">
        <f>1000+804</f>
        <v>1804</v>
      </c>
      <c r="I16" s="146">
        <f t="shared" si="4"/>
        <v>3.880619273132652</v>
      </c>
    </row>
    <row r="17" spans="1:9" s="15" customFormat="1" ht="14.25">
      <c r="A17" s="103" t="s">
        <v>630</v>
      </c>
      <c r="B17" s="22">
        <v>34.42</v>
      </c>
      <c r="C17" s="22">
        <f t="shared" si="0"/>
        <v>3.442</v>
      </c>
      <c r="D17" s="22">
        <v>1645</v>
      </c>
      <c r="E17" s="84">
        <f t="shared" si="1"/>
        <v>8.588721664808622</v>
      </c>
      <c r="F17" s="84">
        <f t="shared" si="2"/>
        <v>46.450721664808626</v>
      </c>
      <c r="G17" s="145">
        <f t="shared" si="3"/>
        <v>3325.082008931996</v>
      </c>
      <c r="H17" s="119">
        <v>3344</v>
      </c>
      <c r="I17" s="146">
        <f t="shared" si="4"/>
        <v>18.917991068004085</v>
      </c>
    </row>
    <row r="18" spans="1:10" s="8" customFormat="1" ht="14.25">
      <c r="A18" s="103" t="s">
        <v>224</v>
      </c>
      <c r="B18" s="85"/>
      <c r="C18" s="85"/>
      <c r="D18" s="22">
        <v>7780</v>
      </c>
      <c r="E18" s="84">
        <f t="shared" si="1"/>
        <v>40.620215533259014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13455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205</v>
      </c>
      <c r="B1" s="10" t="s">
        <v>1250</v>
      </c>
      <c r="C1" s="10"/>
      <c r="D1" s="10"/>
      <c r="E1" s="10"/>
      <c r="F1" s="11" t="s">
        <v>206</v>
      </c>
      <c r="G1" s="106">
        <f>70.2007*1.03</f>
        <v>72.306721</v>
      </c>
      <c r="H1" s="8" t="s">
        <v>207</v>
      </c>
      <c r="J1" s="154"/>
    </row>
    <row r="2" s="8" customFormat="1" ht="14.25">
      <c r="A2" s="33" t="s">
        <v>1251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1252</v>
      </c>
      <c r="B4" s="22">
        <v>7.42</v>
      </c>
      <c r="C4" s="22">
        <f aca="true" t="shared" si="0" ref="C4:C11">B4*0.1</f>
        <v>0.742</v>
      </c>
      <c r="D4" s="108">
        <v>255</v>
      </c>
      <c r="E4" s="84">
        <f aca="true" t="shared" si="1" ref="E4:E12">D4/$D$13*$E$13</f>
        <v>1.3303936130709246</v>
      </c>
      <c r="F4" s="84">
        <f aca="true" t="shared" si="2" ref="F4:F11">B4+E4+C4</f>
        <v>9.492393613070924</v>
      </c>
      <c r="G4" s="145">
        <f aca="true" t="shared" si="3" ref="G4:G11">F4*$G$1</f>
        <v>686.3638566025012</v>
      </c>
      <c r="H4" s="132">
        <v>684</v>
      </c>
      <c r="I4" s="146">
        <f aca="true" t="shared" si="4" ref="I4:I11">H4-G4</f>
        <v>-2.363856602501187</v>
      </c>
    </row>
    <row r="5" spans="1:9" s="15" customFormat="1" ht="14.25">
      <c r="A5" s="103" t="s">
        <v>8</v>
      </c>
      <c r="B5" s="22">
        <v>22.38</v>
      </c>
      <c r="C5" s="22">
        <f t="shared" si="0"/>
        <v>2.238</v>
      </c>
      <c r="D5" s="108">
        <v>990</v>
      </c>
      <c r="E5" s="84">
        <f t="shared" si="1"/>
        <v>5.1650575566282955</v>
      </c>
      <c r="F5" s="84">
        <f>B5+E5+C5</f>
        <v>29.783057556628293</v>
      </c>
      <c r="G5" s="145">
        <f t="shared" si="3"/>
        <v>2153.5152332740636</v>
      </c>
      <c r="H5" s="132">
        <f>2139+41</f>
        <v>2180</v>
      </c>
      <c r="I5" s="146">
        <f>H5-G5</f>
        <v>26.484766725936424</v>
      </c>
    </row>
    <row r="6" spans="1:9" s="15" customFormat="1" ht="14.25">
      <c r="A6" s="103" t="s">
        <v>1238</v>
      </c>
      <c r="B6" s="22">
        <v>14.08</v>
      </c>
      <c r="C6" s="22">
        <f t="shared" si="0"/>
        <v>1.4080000000000001</v>
      </c>
      <c r="D6" s="108">
        <v>940</v>
      </c>
      <c r="E6" s="84">
        <f t="shared" si="1"/>
        <v>4.904196063869291</v>
      </c>
      <c r="F6" s="84">
        <f t="shared" si="2"/>
        <v>20.392196063869292</v>
      </c>
      <c r="G6" s="145">
        <f t="shared" si="3"/>
        <v>1474.492831367495</v>
      </c>
      <c r="H6" s="132">
        <f>1471+5</f>
        <v>1476</v>
      </c>
      <c r="I6" s="146">
        <f t="shared" si="4"/>
        <v>1.5071686325049996</v>
      </c>
    </row>
    <row r="7" spans="1:9" s="8" customFormat="1" ht="14.25">
      <c r="A7" s="104" t="s">
        <v>1253</v>
      </c>
      <c r="B7" s="108">
        <v>54.08</v>
      </c>
      <c r="C7" s="22">
        <f t="shared" si="0"/>
        <v>5.408</v>
      </c>
      <c r="D7" s="22">
        <v>430</v>
      </c>
      <c r="E7" s="84">
        <f t="shared" si="1"/>
        <v>2.2434088377274417</v>
      </c>
      <c r="F7" s="84">
        <f t="shared" si="2"/>
        <v>61.73140883772744</v>
      </c>
      <c r="G7" s="145">
        <f t="shared" si="3"/>
        <v>4463.595755766492</v>
      </c>
      <c r="H7" s="119">
        <f>4370+94</f>
        <v>4464</v>
      </c>
      <c r="I7" s="146">
        <f t="shared" si="4"/>
        <v>0.40424423350759753</v>
      </c>
    </row>
    <row r="8" spans="1:9" s="15" customFormat="1" ht="14.25">
      <c r="A8" s="103" t="s">
        <v>1083</v>
      </c>
      <c r="B8" s="22">
        <v>18.39</v>
      </c>
      <c r="C8" s="22">
        <f t="shared" si="0"/>
        <v>1.8390000000000002</v>
      </c>
      <c r="D8" s="22">
        <v>160</v>
      </c>
      <c r="E8" s="84">
        <f t="shared" si="1"/>
        <v>0.8347567768288154</v>
      </c>
      <c r="F8" s="84">
        <f t="shared" si="2"/>
        <v>21.063756776828814</v>
      </c>
      <c r="G8" s="145">
        <f t="shared" si="3"/>
        <v>1523.0511844740201</v>
      </c>
      <c r="H8" s="132">
        <v>1525</v>
      </c>
      <c r="I8" s="146">
        <f t="shared" si="4"/>
        <v>1.9488155259798532</v>
      </c>
    </row>
    <row r="9" spans="1:9" s="15" customFormat="1" ht="14.25">
      <c r="A9" s="103" t="s">
        <v>1151</v>
      </c>
      <c r="B9" s="22">
        <v>21.96</v>
      </c>
      <c r="C9" s="22">
        <f t="shared" si="0"/>
        <v>2.196</v>
      </c>
      <c r="D9" s="22">
        <v>450</v>
      </c>
      <c r="E9" s="84">
        <f t="shared" si="1"/>
        <v>2.3477534348310436</v>
      </c>
      <c r="F9" s="84">
        <f t="shared" si="2"/>
        <v>26.503753434831047</v>
      </c>
      <c r="G9" s="145">
        <f t="shared" si="3"/>
        <v>1916.3995050651201</v>
      </c>
      <c r="H9" s="132">
        <v>1950</v>
      </c>
      <c r="I9" s="146">
        <f t="shared" si="4"/>
        <v>33.60049493487986</v>
      </c>
    </row>
    <row r="10" spans="1:9" s="15" customFormat="1" ht="14.25">
      <c r="A10" s="103" t="s">
        <v>1227</v>
      </c>
      <c r="B10" s="22">
        <v>19</v>
      </c>
      <c r="C10" s="22">
        <f t="shared" si="0"/>
        <v>1.9000000000000001</v>
      </c>
      <c r="D10" s="22">
        <v>310</v>
      </c>
      <c r="E10" s="84">
        <f t="shared" si="1"/>
        <v>1.61734125510583</v>
      </c>
      <c r="F10" s="84">
        <f t="shared" si="2"/>
        <v>22.51734125510583</v>
      </c>
      <c r="G10" s="145">
        <f t="shared" si="3"/>
        <v>1628.155111794727</v>
      </c>
      <c r="H10" s="132">
        <v>1632</v>
      </c>
      <c r="I10" s="146">
        <f t="shared" si="4"/>
        <v>3.844888205273037</v>
      </c>
    </row>
    <row r="11" spans="1:9" s="8" customFormat="1" ht="14.25">
      <c r="A11" s="104" t="s">
        <v>1123</v>
      </c>
      <c r="B11" s="22">
        <v>89.66</v>
      </c>
      <c r="C11" s="22">
        <f t="shared" si="0"/>
        <v>8.966</v>
      </c>
      <c r="D11" s="22">
        <v>1910</v>
      </c>
      <c r="E11" s="84">
        <f t="shared" si="1"/>
        <v>9.964909023393984</v>
      </c>
      <c r="F11" s="84">
        <f t="shared" si="2"/>
        <v>108.59090902339398</v>
      </c>
      <c r="G11" s="145">
        <f t="shared" si="3"/>
        <v>7851.852561890931</v>
      </c>
      <c r="H11" s="132">
        <v>7872</v>
      </c>
      <c r="I11" s="146">
        <f t="shared" si="4"/>
        <v>20.1474381090693</v>
      </c>
    </row>
    <row r="12" spans="1:10" s="8" customFormat="1" ht="14.25">
      <c r="A12" s="103" t="s">
        <v>224</v>
      </c>
      <c r="B12" s="85"/>
      <c r="C12" s="85"/>
      <c r="D12" s="22">
        <v>8020</v>
      </c>
      <c r="E12" s="84">
        <f t="shared" si="1"/>
        <v>41.842183438544374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13465</v>
      </c>
      <c r="E13" s="1">
        <v>70.25</v>
      </c>
      <c r="F13" s="113"/>
      <c r="G13" s="28"/>
      <c r="H13" s="28"/>
      <c r="I13" s="28"/>
    </row>
    <row r="16" ht="28.5">
      <c r="A16" s="107"/>
    </row>
    <row r="17" ht="28.5">
      <c r="A17" s="107"/>
    </row>
  </sheetData>
  <sheetProtection/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205</v>
      </c>
      <c r="B1" s="10">
        <v>42985</v>
      </c>
      <c r="C1" s="10"/>
      <c r="D1" s="10"/>
      <c r="E1" s="10"/>
      <c r="F1" s="11" t="s">
        <v>206</v>
      </c>
      <c r="G1" s="106">
        <v>70.46</v>
      </c>
      <c r="H1" s="8" t="s">
        <v>207</v>
      </c>
      <c r="J1" s="154"/>
    </row>
    <row r="2" s="8" customFormat="1" ht="14.25">
      <c r="A2" s="33" t="s">
        <v>1254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1255</v>
      </c>
      <c r="B4" s="22">
        <v>4.92</v>
      </c>
      <c r="C4" s="22">
        <f aca="true" t="shared" si="0" ref="C4:C14">B4*0.1</f>
        <v>0.492</v>
      </c>
      <c r="D4" s="108">
        <v>30</v>
      </c>
      <c r="E4" s="84">
        <f aca="true" t="shared" si="1" ref="E4:E16">D4/$D$17*$E$17</f>
        <v>0.15519145802650958</v>
      </c>
      <c r="F4" s="84">
        <f aca="true" t="shared" si="2" ref="F4:F14">B4+E4+C4</f>
        <v>5.567191458026509</v>
      </c>
      <c r="G4" s="145">
        <f aca="true" t="shared" si="3" ref="G4:G14">F4*$G$1</f>
        <v>392.2643101325478</v>
      </c>
      <c r="H4" s="132">
        <f>389+3</f>
        <v>392</v>
      </c>
      <c r="I4" s="146">
        <f aca="true" t="shared" si="4" ref="I4:I14">H4-G4</f>
        <v>-0.26431013254779145</v>
      </c>
    </row>
    <row r="5" spans="1:9" s="15" customFormat="1" ht="14.25">
      <c r="A5" s="103" t="s">
        <v>418</v>
      </c>
      <c r="B5" s="22">
        <v>12.92</v>
      </c>
      <c r="C5" s="22">
        <f t="shared" si="0"/>
        <v>1.292</v>
      </c>
      <c r="D5" s="108">
        <v>75</v>
      </c>
      <c r="E5" s="84">
        <f t="shared" si="1"/>
        <v>0.38797864506627394</v>
      </c>
      <c r="F5" s="84">
        <f>B5+E5+C5</f>
        <v>14.599978645066274</v>
      </c>
      <c r="G5" s="145">
        <f t="shared" si="3"/>
        <v>1028.7144953313696</v>
      </c>
      <c r="H5" s="132">
        <v>1029</v>
      </c>
      <c r="I5" s="146">
        <f>H5-G5</f>
        <v>0.28550466863043766</v>
      </c>
    </row>
    <row r="6" spans="1:9" s="15" customFormat="1" ht="14.25">
      <c r="A6" s="103" t="s">
        <v>178</v>
      </c>
      <c r="B6" s="22">
        <v>8.25</v>
      </c>
      <c r="C6" s="22">
        <f t="shared" si="0"/>
        <v>0.8250000000000001</v>
      </c>
      <c r="D6" s="108">
        <v>165</v>
      </c>
      <c r="E6" s="84">
        <f t="shared" si="1"/>
        <v>0.8535530191458026</v>
      </c>
      <c r="F6" s="84">
        <f t="shared" si="2"/>
        <v>9.928553019145802</v>
      </c>
      <c r="G6" s="145">
        <f t="shared" si="3"/>
        <v>699.5658457290132</v>
      </c>
      <c r="H6" s="132">
        <v>697</v>
      </c>
      <c r="I6" s="146">
        <f t="shared" si="4"/>
        <v>-2.5658457290131764</v>
      </c>
    </row>
    <row r="7" spans="1:9" s="8" customFormat="1" ht="14.25">
      <c r="A7" s="104" t="s">
        <v>1256</v>
      </c>
      <c r="B7" s="108">
        <v>16.5</v>
      </c>
      <c r="C7" s="22">
        <f t="shared" si="0"/>
        <v>1.6500000000000001</v>
      </c>
      <c r="D7" s="22">
        <v>130</v>
      </c>
      <c r="E7" s="84">
        <f t="shared" si="1"/>
        <v>0.6724963181148749</v>
      </c>
      <c r="F7" s="84">
        <f t="shared" si="2"/>
        <v>18.822496318114872</v>
      </c>
      <c r="G7" s="145">
        <f t="shared" si="3"/>
        <v>1326.2330905743738</v>
      </c>
      <c r="H7" s="132">
        <v>1328</v>
      </c>
      <c r="I7" s="146">
        <f t="shared" si="4"/>
        <v>1.7669094256261815</v>
      </c>
    </row>
    <row r="8" spans="1:9" s="15" customFormat="1" ht="14.25">
      <c r="A8" s="103" t="s">
        <v>254</v>
      </c>
      <c r="B8" s="22">
        <v>16.5</v>
      </c>
      <c r="C8" s="22">
        <f t="shared" si="0"/>
        <v>1.6500000000000001</v>
      </c>
      <c r="D8" s="22">
        <v>335</v>
      </c>
      <c r="E8" s="84">
        <f t="shared" si="1"/>
        <v>1.7329712812960234</v>
      </c>
      <c r="F8" s="84">
        <f t="shared" si="2"/>
        <v>19.882971281296022</v>
      </c>
      <c r="G8" s="145">
        <f t="shared" si="3"/>
        <v>1400.9541564801177</v>
      </c>
      <c r="H8" s="132">
        <v>1157</v>
      </c>
      <c r="I8" s="146">
        <f t="shared" si="4"/>
        <v>-243.95415648011772</v>
      </c>
    </row>
    <row r="9" spans="1:9" s="15" customFormat="1" ht="14.25">
      <c r="A9" s="103" t="s">
        <v>657</v>
      </c>
      <c r="B9" s="22">
        <v>5.75</v>
      </c>
      <c r="C9" s="22">
        <f t="shared" si="0"/>
        <v>0.5750000000000001</v>
      </c>
      <c r="D9" s="22">
        <v>585</v>
      </c>
      <c r="E9" s="84">
        <f t="shared" si="1"/>
        <v>3.026233431516937</v>
      </c>
      <c r="F9" s="84">
        <f t="shared" si="2"/>
        <v>9.351233431516937</v>
      </c>
      <c r="G9" s="145">
        <f t="shared" si="3"/>
        <v>658.8879075846833</v>
      </c>
      <c r="H9" s="132">
        <v>760</v>
      </c>
      <c r="I9" s="146">
        <f t="shared" si="4"/>
        <v>101.11209241531674</v>
      </c>
    </row>
    <row r="10" spans="1:9" s="15" customFormat="1" ht="14.25">
      <c r="A10" s="103" t="s">
        <v>1140</v>
      </c>
      <c r="B10" s="22">
        <v>7.92</v>
      </c>
      <c r="C10" s="22">
        <f t="shared" si="0"/>
        <v>0.792</v>
      </c>
      <c r="D10" s="22">
        <v>155</v>
      </c>
      <c r="E10" s="84">
        <f t="shared" si="1"/>
        <v>0.801822533136966</v>
      </c>
      <c r="F10" s="84">
        <f t="shared" si="2"/>
        <v>9.513822533136965</v>
      </c>
      <c r="G10" s="145">
        <f t="shared" si="3"/>
        <v>670.3439356848305</v>
      </c>
      <c r="H10" s="132">
        <v>670</v>
      </c>
      <c r="I10" s="146">
        <f t="shared" si="4"/>
        <v>-0.3439356848305124</v>
      </c>
    </row>
    <row r="11" spans="1:9" s="15" customFormat="1" ht="14.25">
      <c r="A11" s="103" t="s">
        <v>614</v>
      </c>
      <c r="B11" s="22">
        <v>3.75</v>
      </c>
      <c r="C11" s="22">
        <f>B11*0.1</f>
        <v>0.375</v>
      </c>
      <c r="D11" s="108">
        <v>125</v>
      </c>
      <c r="E11" s="84">
        <f t="shared" si="1"/>
        <v>0.6466310751104566</v>
      </c>
      <c r="F11" s="84">
        <f>B11+E11+C11</f>
        <v>4.771631075110457</v>
      </c>
      <c r="G11" s="145">
        <f>F11*$G$1</f>
        <v>336.2091255522827</v>
      </c>
      <c r="H11" s="132">
        <v>333</v>
      </c>
      <c r="I11" s="146">
        <f>H11-G11</f>
        <v>-3.2091255522827282</v>
      </c>
    </row>
    <row r="12" spans="1:9" s="15" customFormat="1" ht="14.25">
      <c r="A12" s="103" t="s">
        <v>1257</v>
      </c>
      <c r="B12" s="22">
        <v>21.61</v>
      </c>
      <c r="C12" s="22">
        <f>B12*0.1</f>
        <v>2.161</v>
      </c>
      <c r="D12" s="108">
        <v>1005</v>
      </c>
      <c r="E12" s="84">
        <f t="shared" si="1"/>
        <v>5.198913843888071</v>
      </c>
      <c r="F12" s="84">
        <f>B12+E12+C12</f>
        <v>28.969913843888072</v>
      </c>
      <c r="G12" s="145">
        <f>F12*$G$1</f>
        <v>2041.2201294403535</v>
      </c>
      <c r="H12" s="132">
        <f>1036+1000</f>
        <v>2036</v>
      </c>
      <c r="I12" s="146">
        <f>H12-G12</f>
        <v>-5.220129440353503</v>
      </c>
    </row>
    <row r="13" spans="1:9" s="15" customFormat="1" ht="14.25">
      <c r="A13" s="103" t="s">
        <v>630</v>
      </c>
      <c r="B13" s="22">
        <v>21.5</v>
      </c>
      <c r="C13" s="22">
        <f>B13*0.1</f>
        <v>2.15</v>
      </c>
      <c r="D13" s="108">
        <v>185</v>
      </c>
      <c r="E13" s="84">
        <f t="shared" si="1"/>
        <v>0.9570139911634757</v>
      </c>
      <c r="F13" s="84">
        <f>B13+E13+C13</f>
        <v>24.607013991163473</v>
      </c>
      <c r="G13" s="145">
        <f>F13*$G$1</f>
        <v>1733.8102058173781</v>
      </c>
      <c r="H13" s="132">
        <v>1736</v>
      </c>
      <c r="I13" s="146">
        <f>H13-G13</f>
        <v>2.189794182621881</v>
      </c>
    </row>
    <row r="14" spans="1:9" s="8" customFormat="1" ht="14.25">
      <c r="A14" s="104" t="s">
        <v>96</v>
      </c>
      <c r="B14" s="22">
        <v>19.92</v>
      </c>
      <c r="C14" s="22">
        <f t="shared" si="0"/>
        <v>1.9920000000000002</v>
      </c>
      <c r="D14" s="22">
        <v>540</v>
      </c>
      <c r="E14" s="84">
        <f t="shared" si="1"/>
        <v>2.793446244477172</v>
      </c>
      <c r="F14" s="84">
        <f t="shared" si="2"/>
        <v>24.705446244477177</v>
      </c>
      <c r="G14" s="145">
        <f t="shared" si="3"/>
        <v>1740.7457423858616</v>
      </c>
      <c r="H14" s="132">
        <v>1746</v>
      </c>
      <c r="I14" s="146">
        <f t="shared" si="4"/>
        <v>5.254257614138396</v>
      </c>
    </row>
    <row r="15" spans="1:9" s="8" customFormat="1" ht="14.25">
      <c r="A15" s="103" t="s">
        <v>1258</v>
      </c>
      <c r="B15" s="22">
        <v>98.49</v>
      </c>
      <c r="C15" s="22">
        <f>B15*0.1</f>
        <v>9.849</v>
      </c>
      <c r="D15" s="22">
        <v>500</v>
      </c>
      <c r="E15" s="84">
        <f t="shared" si="1"/>
        <v>2.5865243004418264</v>
      </c>
      <c r="F15" s="84">
        <f>B15+E15+C15</f>
        <v>110.92552430044182</v>
      </c>
      <c r="G15" s="145">
        <f>F15*$G$1</f>
        <v>7815.8124422091305</v>
      </c>
      <c r="H15" s="132">
        <v>7795</v>
      </c>
      <c r="I15" s="146">
        <f>H15-G15</f>
        <v>-20.812442209130495</v>
      </c>
    </row>
    <row r="16" spans="1:10" s="8" customFormat="1" ht="14.25">
      <c r="A16" s="103" t="s">
        <v>224</v>
      </c>
      <c r="B16" s="85"/>
      <c r="C16" s="85"/>
      <c r="D16" s="22">
        <v>9750</v>
      </c>
      <c r="E16" s="84">
        <f t="shared" si="1"/>
        <v>50.43722385861561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13580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205</v>
      </c>
      <c r="B1" s="10">
        <v>42993</v>
      </c>
      <c r="C1" s="10"/>
      <c r="D1" s="10"/>
      <c r="E1" s="10"/>
      <c r="F1" s="11" t="s">
        <v>206</v>
      </c>
      <c r="G1" s="106">
        <v>70.693</v>
      </c>
      <c r="H1" s="8" t="s">
        <v>207</v>
      </c>
      <c r="J1" s="154"/>
    </row>
    <row r="2" s="8" customFormat="1" ht="14.25">
      <c r="A2" s="33" t="s">
        <v>1270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96</v>
      </c>
      <c r="B4" s="22">
        <v>5.42</v>
      </c>
      <c r="C4" s="22">
        <f aca="true" t="shared" si="0" ref="C4:C14">B4*0.1</f>
        <v>0.542</v>
      </c>
      <c r="D4" s="108">
        <v>40</v>
      </c>
      <c r="E4" s="84">
        <f aca="true" t="shared" si="1" ref="E4:E16">D4/$D$17*$E$17</f>
        <v>0.20623853211009174</v>
      </c>
      <c r="F4" s="84">
        <f aca="true" t="shared" si="2" ref="F4:F14">B4+E4+C4</f>
        <v>6.168238532110092</v>
      </c>
      <c r="G4" s="145">
        <f aca="true" t="shared" si="3" ref="G4:G14">F4*$G$1</f>
        <v>436.0512865504587</v>
      </c>
      <c r="H4" s="132">
        <f>432+4</f>
        <v>436</v>
      </c>
      <c r="I4" s="146">
        <f aca="true" t="shared" si="4" ref="I4:I14">H4-G4</f>
        <v>-0.051286550458712554</v>
      </c>
    </row>
    <row r="5" spans="1:9" s="15" customFormat="1" ht="14.25">
      <c r="A5" s="103" t="s">
        <v>703</v>
      </c>
      <c r="B5" s="22">
        <v>5.75</v>
      </c>
      <c r="C5" s="22">
        <f t="shared" si="0"/>
        <v>0.5750000000000001</v>
      </c>
      <c r="D5" s="108">
        <v>60</v>
      </c>
      <c r="E5" s="84">
        <f t="shared" si="1"/>
        <v>0.30935779816513764</v>
      </c>
      <c r="F5" s="84">
        <f>B5+E5+C5</f>
        <v>6.634357798165138</v>
      </c>
      <c r="G5" s="145">
        <f t="shared" si="3"/>
        <v>469.00265582568807</v>
      </c>
      <c r="H5" s="132">
        <f>457+5</f>
        <v>462</v>
      </c>
      <c r="I5" s="146">
        <f>H5-G5</f>
        <v>-7.002655825688066</v>
      </c>
    </row>
    <row r="6" spans="1:9" s="15" customFormat="1" ht="14.25">
      <c r="A6" s="103" t="s">
        <v>1271</v>
      </c>
      <c r="B6" s="22">
        <v>13.25</v>
      </c>
      <c r="C6" s="22">
        <f t="shared" si="0"/>
        <v>1.3250000000000002</v>
      </c>
      <c r="D6" s="108">
        <v>900</v>
      </c>
      <c r="E6" s="84">
        <f t="shared" si="1"/>
        <v>4.640366972477064</v>
      </c>
      <c r="F6" s="84">
        <f t="shared" si="2"/>
        <v>19.215366972477064</v>
      </c>
      <c r="G6" s="145">
        <f t="shared" si="3"/>
        <v>1358.391937385321</v>
      </c>
      <c r="H6" s="132">
        <f>1351+7</f>
        <v>1358</v>
      </c>
      <c r="I6" s="146">
        <f t="shared" si="4"/>
        <v>-0.3919373853209436</v>
      </c>
    </row>
    <row r="7" spans="1:9" s="8" customFormat="1" ht="14.25">
      <c r="A7" s="104" t="s">
        <v>1238</v>
      </c>
      <c r="B7" s="108">
        <v>7.27</v>
      </c>
      <c r="C7" s="22">
        <f t="shared" si="0"/>
        <v>0.727</v>
      </c>
      <c r="D7" s="22">
        <v>500</v>
      </c>
      <c r="E7" s="84">
        <f t="shared" si="1"/>
        <v>2.577981651376147</v>
      </c>
      <c r="F7" s="84">
        <f t="shared" si="2"/>
        <v>10.574981651376147</v>
      </c>
      <c r="G7" s="145">
        <f t="shared" si="3"/>
        <v>747.577177880734</v>
      </c>
      <c r="H7" s="132">
        <v>750</v>
      </c>
      <c r="I7" s="146">
        <f t="shared" si="4"/>
        <v>2.4228221192660158</v>
      </c>
    </row>
    <row r="8" spans="1:9" s="15" customFormat="1" ht="14.25">
      <c r="A8" s="103" t="s">
        <v>994</v>
      </c>
      <c r="B8" s="22">
        <v>5.78</v>
      </c>
      <c r="C8" s="22">
        <f t="shared" si="0"/>
        <v>0.5780000000000001</v>
      </c>
      <c r="D8" s="22">
        <v>1160</v>
      </c>
      <c r="E8" s="84">
        <f t="shared" si="1"/>
        <v>5.98091743119266</v>
      </c>
      <c r="F8" s="84">
        <f t="shared" si="2"/>
        <v>12.338917431192659</v>
      </c>
      <c r="G8" s="145">
        <f t="shared" si="3"/>
        <v>872.2750899633025</v>
      </c>
      <c r="H8" s="132">
        <f>850+22</f>
        <v>872</v>
      </c>
      <c r="I8" s="146">
        <f t="shared" si="4"/>
        <v>-0.2750899633025483</v>
      </c>
    </row>
    <row r="9" spans="1:9" s="15" customFormat="1" ht="14.25">
      <c r="A9" s="103" t="s">
        <v>1193</v>
      </c>
      <c r="B9" s="22">
        <v>26.32</v>
      </c>
      <c r="C9" s="22">
        <f t="shared" si="0"/>
        <v>2.632</v>
      </c>
      <c r="D9" s="22">
        <v>220</v>
      </c>
      <c r="E9" s="84">
        <f t="shared" si="1"/>
        <v>1.1343119266055046</v>
      </c>
      <c r="F9" s="84">
        <f t="shared" si="2"/>
        <v>30.086311926605507</v>
      </c>
      <c r="G9" s="145">
        <f t="shared" si="3"/>
        <v>2126.8916490275233</v>
      </c>
      <c r="H9" s="132">
        <f>2099+28</f>
        <v>2127</v>
      </c>
      <c r="I9" s="146">
        <f t="shared" si="4"/>
        <v>0.1083509724767282</v>
      </c>
    </row>
    <row r="10" spans="1:9" s="15" customFormat="1" ht="14.25">
      <c r="A10" s="103" t="s">
        <v>1121</v>
      </c>
      <c r="B10" s="22">
        <v>12.495</v>
      </c>
      <c r="C10" s="22">
        <f t="shared" si="0"/>
        <v>1.2495</v>
      </c>
      <c r="D10" s="22">
        <v>460</v>
      </c>
      <c r="E10" s="84">
        <f t="shared" si="1"/>
        <v>2.3717431192660547</v>
      </c>
      <c r="F10" s="84">
        <f t="shared" si="2"/>
        <v>16.116243119266056</v>
      </c>
      <c r="G10" s="145">
        <f t="shared" si="3"/>
        <v>1139.3055748302752</v>
      </c>
      <c r="H10" s="132">
        <f>1128+12</f>
        <v>1140</v>
      </c>
      <c r="I10" s="146">
        <f t="shared" si="4"/>
        <v>0.6944251697248092</v>
      </c>
    </row>
    <row r="11" spans="1:9" s="15" customFormat="1" ht="14.25">
      <c r="A11" s="103" t="s">
        <v>1272</v>
      </c>
      <c r="B11" s="22">
        <v>24.31</v>
      </c>
      <c r="C11" s="22">
        <f>B11*0.1</f>
        <v>2.431</v>
      </c>
      <c r="D11" s="108">
        <v>850</v>
      </c>
      <c r="E11" s="84">
        <f t="shared" si="1"/>
        <v>4.3825688073394495</v>
      </c>
      <c r="F11" s="84">
        <f>B11+E11+C11</f>
        <v>31.12356880733945</v>
      </c>
      <c r="G11" s="145">
        <f>F11*$G$1</f>
        <v>2200.2184496972477</v>
      </c>
      <c r="H11" s="132">
        <f>1000+1177+23</f>
        <v>2200</v>
      </c>
      <c r="I11" s="146">
        <f>H11-G11</f>
        <v>-0.21844969724770635</v>
      </c>
    </row>
    <row r="12" spans="1:9" s="15" customFormat="1" ht="14.25">
      <c r="A12" s="103" t="s">
        <v>1273</v>
      </c>
      <c r="B12" s="22">
        <v>27.33</v>
      </c>
      <c r="C12" s="22">
        <f>B12*0.1</f>
        <v>2.733</v>
      </c>
      <c r="D12" s="108">
        <v>130</v>
      </c>
      <c r="E12" s="84">
        <f t="shared" si="1"/>
        <v>0.6702752293577982</v>
      </c>
      <c r="F12" s="84">
        <f>B12+E12+C12</f>
        <v>30.733275229357798</v>
      </c>
      <c r="G12" s="145">
        <f>F12*$G$1</f>
        <v>2172.627425788991</v>
      </c>
      <c r="H12" s="132">
        <f>1000+1162+11</f>
        <v>2173</v>
      </c>
      <c r="I12" s="146">
        <f>H12-G12</f>
        <v>0.37257421100912325</v>
      </c>
    </row>
    <row r="13" spans="1:9" s="15" customFormat="1" ht="14.25">
      <c r="A13" s="103" t="s">
        <v>1025</v>
      </c>
      <c r="B13" s="22">
        <v>23.03</v>
      </c>
      <c r="C13" s="22">
        <f>B13*0.1</f>
        <v>2.3030000000000004</v>
      </c>
      <c r="D13" s="108">
        <v>235</v>
      </c>
      <c r="E13" s="84">
        <f t="shared" si="1"/>
        <v>1.211651376146789</v>
      </c>
      <c r="F13" s="84">
        <f>B13+E13+C13</f>
        <v>26.544651376146792</v>
      </c>
      <c r="G13" s="145">
        <f>F13*$G$1</f>
        <v>1876.5210397339451</v>
      </c>
      <c r="H13" s="132">
        <f>1852+25</f>
        <v>1877</v>
      </c>
      <c r="I13" s="146">
        <f>H13-G13</f>
        <v>0.4789602660548553</v>
      </c>
    </row>
    <row r="14" spans="1:9" s="8" customFormat="1" ht="14.25">
      <c r="A14" s="104" t="s">
        <v>426</v>
      </c>
      <c r="B14" s="22">
        <v>7.83</v>
      </c>
      <c r="C14" s="22">
        <f t="shared" si="0"/>
        <v>0.783</v>
      </c>
      <c r="D14" s="22">
        <v>370</v>
      </c>
      <c r="E14" s="84">
        <f t="shared" si="1"/>
        <v>1.9077064220183486</v>
      </c>
      <c r="F14" s="84">
        <f t="shared" si="2"/>
        <v>10.520706422018348</v>
      </c>
      <c r="G14" s="145">
        <f t="shared" si="3"/>
        <v>743.740299091743</v>
      </c>
      <c r="H14" s="132">
        <v>738</v>
      </c>
      <c r="I14" s="146">
        <f t="shared" si="4"/>
        <v>-5.740299091743054</v>
      </c>
    </row>
    <row r="15" spans="1:9" s="8" customFormat="1" ht="14.25">
      <c r="A15" s="103" t="s">
        <v>1215</v>
      </c>
      <c r="B15" s="22">
        <v>5.84</v>
      </c>
      <c r="C15" s="22">
        <f>B15*0.1</f>
        <v>0.584</v>
      </c>
      <c r="D15" s="22">
        <v>270</v>
      </c>
      <c r="E15" s="84">
        <f t="shared" si="1"/>
        <v>1.3921100917431193</v>
      </c>
      <c r="F15" s="84">
        <f>B15+E15+C15</f>
        <v>7.816110091743119</v>
      </c>
      <c r="G15" s="145">
        <f>F15*$G$1</f>
        <v>552.5442707155963</v>
      </c>
      <c r="H15" s="132">
        <f>538+15</f>
        <v>553</v>
      </c>
      <c r="I15" s="146">
        <f>H15-G15</f>
        <v>0.4557292844036738</v>
      </c>
    </row>
    <row r="16" spans="1:10" s="8" customFormat="1" ht="14.25">
      <c r="A16" s="103" t="s">
        <v>224</v>
      </c>
      <c r="B16" s="85"/>
      <c r="C16" s="85"/>
      <c r="D16" s="22">
        <v>8430</v>
      </c>
      <c r="E16" s="84">
        <f t="shared" si="1"/>
        <v>43.464770642201835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13625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B1">
      <selection activeCell="G18" sqref="G18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18.140625" style="0" customWidth="1"/>
  </cols>
  <sheetData>
    <row r="1" spans="1:10" s="8" customFormat="1" ht="21">
      <c r="A1" s="9" t="s">
        <v>205</v>
      </c>
      <c r="B1" s="10">
        <v>43001</v>
      </c>
      <c r="C1" s="10"/>
      <c r="D1" s="10"/>
      <c r="E1" s="10"/>
      <c r="F1" s="11" t="s">
        <v>206</v>
      </c>
      <c r="G1" s="106">
        <v>70.521</v>
      </c>
      <c r="H1" s="8" t="s">
        <v>207</v>
      </c>
      <c r="J1" s="154"/>
    </row>
    <row r="2" s="8" customFormat="1" ht="14.25">
      <c r="A2" s="33" t="s">
        <v>1284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1285</v>
      </c>
      <c r="B4" s="22">
        <v>9.68</v>
      </c>
      <c r="C4" s="22">
        <f aca="true" t="shared" si="0" ref="C4:C10">B4*0.1</f>
        <v>0.968</v>
      </c>
      <c r="D4" s="108">
        <v>60</v>
      </c>
      <c r="E4" s="84">
        <f aca="true" t="shared" si="1" ref="E4:E13">D4/$D$14*$E$14</f>
        <v>0.33810375670840787</v>
      </c>
      <c r="F4" s="84">
        <f aca="true" t="shared" si="2" ref="F4:F10">B4+E4+C4</f>
        <v>10.986103756708408</v>
      </c>
      <c r="G4" s="145">
        <f aca="true" t="shared" si="3" ref="G4:G10">F4*$G$1</f>
        <v>774.7510230268336</v>
      </c>
      <c r="H4" s="132">
        <v>776</v>
      </c>
      <c r="I4" s="146">
        <f aca="true" t="shared" si="4" ref="I4:I10">H4-G4</f>
        <v>1.24897697316635</v>
      </c>
    </row>
    <row r="5" spans="1:9" s="15" customFormat="1" ht="14.25">
      <c r="A5" s="103" t="s">
        <v>898</v>
      </c>
      <c r="B5" s="22">
        <v>5.42</v>
      </c>
      <c r="C5" s="22">
        <f t="shared" si="0"/>
        <v>0.542</v>
      </c>
      <c r="D5" s="108">
        <v>190</v>
      </c>
      <c r="E5" s="84">
        <f t="shared" si="1"/>
        <v>1.0706618962432917</v>
      </c>
      <c r="F5" s="84">
        <f>B5+E5+C5</f>
        <v>7.032661896243291</v>
      </c>
      <c r="G5" s="145">
        <f t="shared" si="3"/>
        <v>495.95034958497314</v>
      </c>
      <c r="H5" s="132">
        <v>534</v>
      </c>
      <c r="I5" s="146">
        <f>H5-G5</f>
        <v>38.04965041502686</v>
      </c>
    </row>
    <row r="6" spans="1:9" s="15" customFormat="1" ht="14.25">
      <c r="A6" s="103" t="s">
        <v>1214</v>
      </c>
      <c r="B6" s="22">
        <v>7.43</v>
      </c>
      <c r="C6" s="22">
        <f t="shared" si="0"/>
        <v>0.743</v>
      </c>
      <c r="D6" s="108">
        <v>130</v>
      </c>
      <c r="E6" s="84">
        <f t="shared" si="1"/>
        <v>0.7325581395348837</v>
      </c>
      <c r="F6" s="84">
        <f t="shared" si="2"/>
        <v>8.905558139534884</v>
      </c>
      <c r="G6" s="145">
        <f t="shared" si="3"/>
        <v>628.0288655581396</v>
      </c>
      <c r="H6" s="132">
        <v>628</v>
      </c>
      <c r="I6" s="146">
        <f t="shared" si="4"/>
        <v>-0.028865558139614222</v>
      </c>
    </row>
    <row r="7" spans="1:9" s="8" customFormat="1" ht="14.25">
      <c r="A7" s="104" t="s">
        <v>115</v>
      </c>
      <c r="B7" s="108">
        <v>6.34</v>
      </c>
      <c r="C7" s="22">
        <f t="shared" si="0"/>
        <v>0.634</v>
      </c>
      <c r="D7" s="22">
        <v>440</v>
      </c>
      <c r="E7" s="84">
        <f t="shared" si="1"/>
        <v>2.479427549194991</v>
      </c>
      <c r="F7" s="84">
        <f t="shared" si="2"/>
        <v>9.453427549194991</v>
      </c>
      <c r="G7" s="145">
        <f t="shared" si="3"/>
        <v>666.66516419678</v>
      </c>
      <c r="H7" s="132">
        <v>629</v>
      </c>
      <c r="I7" s="146">
        <f t="shared" si="4"/>
        <v>-37.66516419677998</v>
      </c>
    </row>
    <row r="8" spans="1:9" s="15" customFormat="1" ht="14.25">
      <c r="A8" s="103" t="s">
        <v>478</v>
      </c>
      <c r="B8" s="22">
        <v>9.68</v>
      </c>
      <c r="C8" s="22">
        <f t="shared" si="0"/>
        <v>0.968</v>
      </c>
      <c r="D8" s="22">
        <v>1150</v>
      </c>
      <c r="E8" s="84">
        <f t="shared" si="1"/>
        <v>6.480322003577817</v>
      </c>
      <c r="F8" s="84">
        <f t="shared" si="2"/>
        <v>17.128322003577818</v>
      </c>
      <c r="G8" s="145">
        <f t="shared" si="3"/>
        <v>1207.9063960143112</v>
      </c>
      <c r="H8" s="132">
        <v>1192</v>
      </c>
      <c r="I8" s="146">
        <f t="shared" si="4"/>
        <v>-15.906396014311213</v>
      </c>
    </row>
    <row r="9" spans="1:10" s="15" customFormat="1" ht="43.5">
      <c r="A9" s="103" t="s">
        <v>1238</v>
      </c>
      <c r="B9" s="22">
        <v>7.43</v>
      </c>
      <c r="C9" s="22">
        <f t="shared" si="0"/>
        <v>0.743</v>
      </c>
      <c r="D9" s="22">
        <v>130</v>
      </c>
      <c r="E9" s="84">
        <f t="shared" si="1"/>
        <v>0.7325581395348837</v>
      </c>
      <c r="F9" s="84">
        <f t="shared" si="2"/>
        <v>8.905558139534884</v>
      </c>
      <c r="G9" s="145">
        <f t="shared" si="3"/>
        <v>628.0288655581396</v>
      </c>
      <c r="H9" s="132">
        <f>653-26</f>
        <v>627</v>
      </c>
      <c r="I9" s="146">
        <f t="shared" si="4"/>
        <v>-1.0288655581396142</v>
      </c>
      <c r="J9" s="15" t="s">
        <v>1305</v>
      </c>
    </row>
    <row r="10" spans="1:9" s="15" customFormat="1" ht="14.25">
      <c r="A10" s="103" t="s">
        <v>416</v>
      </c>
      <c r="B10" s="22">
        <v>11.25</v>
      </c>
      <c r="C10" s="22">
        <f t="shared" si="0"/>
        <v>1.125</v>
      </c>
      <c r="D10" s="22">
        <v>240</v>
      </c>
      <c r="E10" s="84">
        <f t="shared" si="1"/>
        <v>1.3524150268336315</v>
      </c>
      <c r="F10" s="84">
        <f t="shared" si="2"/>
        <v>13.727415026833631</v>
      </c>
      <c r="G10" s="145">
        <f t="shared" si="3"/>
        <v>968.0710351073345</v>
      </c>
      <c r="H10" s="132">
        <v>1015</v>
      </c>
      <c r="I10" s="146">
        <f t="shared" si="4"/>
        <v>46.928964892665476</v>
      </c>
    </row>
    <row r="11" spans="1:9" s="15" customFormat="1" ht="14.25">
      <c r="A11" s="103" t="s">
        <v>455</v>
      </c>
      <c r="B11" s="22">
        <v>41.92</v>
      </c>
      <c r="C11" s="22">
        <f>B11*0.1</f>
        <v>4.192</v>
      </c>
      <c r="D11" s="108">
        <v>285</v>
      </c>
      <c r="E11" s="84">
        <f t="shared" si="1"/>
        <v>1.6059928443649374</v>
      </c>
      <c r="F11" s="84">
        <f>B11+E11+C11</f>
        <v>47.717992844364936</v>
      </c>
      <c r="G11" s="145">
        <f>F11*$G$1</f>
        <v>3365.1205733774596</v>
      </c>
      <c r="H11" s="132">
        <v>3302</v>
      </c>
      <c r="I11" s="146">
        <f>H11-G11</f>
        <v>-63.12057337745955</v>
      </c>
    </row>
    <row r="12" spans="1:9" s="15" customFormat="1" ht="14.25">
      <c r="A12" s="103" t="s">
        <v>155</v>
      </c>
      <c r="B12" s="22">
        <v>9.76</v>
      </c>
      <c r="C12" s="22">
        <f>B12*0.1</f>
        <v>0.976</v>
      </c>
      <c r="D12" s="108">
        <v>270</v>
      </c>
      <c r="E12" s="84">
        <f t="shared" si="1"/>
        <v>1.5214669051878356</v>
      </c>
      <c r="F12" s="84">
        <f>B12+E12+C12</f>
        <v>12.257466905187837</v>
      </c>
      <c r="G12" s="145">
        <f>F12*$G$1</f>
        <v>864.4088236207515</v>
      </c>
      <c r="H12" s="132">
        <v>859</v>
      </c>
      <c r="I12" s="146">
        <f>H12-G12</f>
        <v>-5.408823620751491</v>
      </c>
    </row>
    <row r="13" spans="1:10" s="8" customFormat="1" ht="14.25">
      <c r="A13" s="103" t="s">
        <v>224</v>
      </c>
      <c r="B13" s="85"/>
      <c r="C13" s="85"/>
      <c r="D13" s="22">
        <v>5490</v>
      </c>
      <c r="E13" s="84">
        <f t="shared" si="1"/>
        <v>30.93649373881932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8385</v>
      </c>
      <c r="E14" s="1">
        <v>47.25</v>
      </c>
      <c r="F14" s="113"/>
      <c r="G14" s="28"/>
      <c r="H14" s="28"/>
      <c r="I14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205</v>
      </c>
      <c r="B1" s="10">
        <v>43007</v>
      </c>
      <c r="C1" s="10"/>
      <c r="D1" s="10"/>
      <c r="E1" s="10"/>
      <c r="F1" s="11" t="s">
        <v>206</v>
      </c>
      <c r="G1" s="106">
        <v>70.181</v>
      </c>
      <c r="H1" s="8" t="s">
        <v>207</v>
      </c>
      <c r="J1" s="154"/>
    </row>
    <row r="2" s="8" customFormat="1" ht="14.25">
      <c r="A2" s="33" t="s">
        <v>1294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956</v>
      </c>
      <c r="B4" s="22">
        <v>5.78</v>
      </c>
      <c r="C4" s="22">
        <f aca="true" t="shared" si="0" ref="C4:C10">B4*0.1</f>
        <v>0.5780000000000001</v>
      </c>
      <c r="D4" s="108">
        <v>1150</v>
      </c>
      <c r="E4" s="84">
        <f aca="true" t="shared" si="1" ref="E4:E16">D4/$D$17*$E$17</f>
        <v>6.297297297297298</v>
      </c>
      <c r="F4" s="84">
        <f aca="true" t="shared" si="2" ref="F4:F10">B4+E4+C4</f>
        <v>12.655297297297299</v>
      </c>
      <c r="G4" s="145">
        <f aca="true" t="shared" si="3" ref="G4:G10">F4*$G$1</f>
        <v>888.1614196216217</v>
      </c>
      <c r="H4" s="132">
        <v>912.78</v>
      </c>
      <c r="I4" s="146">
        <f aca="true" t="shared" si="4" ref="I4:I10">H4-G4</f>
        <v>24.618580378378283</v>
      </c>
    </row>
    <row r="5" spans="1:9" s="15" customFormat="1" ht="14.25">
      <c r="A5" s="103" t="s">
        <v>569</v>
      </c>
      <c r="B5" s="22">
        <v>19.64</v>
      </c>
      <c r="C5" s="22">
        <f t="shared" si="0"/>
        <v>1.9640000000000002</v>
      </c>
      <c r="D5" s="108">
        <v>280</v>
      </c>
      <c r="E5" s="84">
        <f t="shared" si="1"/>
        <v>1.5332549941245595</v>
      </c>
      <c r="F5" s="84">
        <f>B5+E5+C5</f>
        <v>23.137254994124557</v>
      </c>
      <c r="G5" s="145">
        <f t="shared" si="3"/>
        <v>1623.7956927426555</v>
      </c>
      <c r="H5" s="132">
        <v>1630</v>
      </c>
      <c r="I5" s="146">
        <f>H5-G5</f>
        <v>6.204307257344453</v>
      </c>
    </row>
    <row r="6" spans="1:9" s="15" customFormat="1" ht="14.25">
      <c r="A6" s="103" t="s">
        <v>1203</v>
      </c>
      <c r="B6" s="22">
        <v>4.64</v>
      </c>
      <c r="C6" s="22">
        <f t="shared" si="0"/>
        <v>0.46399999999999997</v>
      </c>
      <c r="D6" s="108">
        <v>45</v>
      </c>
      <c r="E6" s="84">
        <f t="shared" si="1"/>
        <v>0.24641598119858993</v>
      </c>
      <c r="F6" s="84">
        <f t="shared" si="2"/>
        <v>5.350415981198589</v>
      </c>
      <c r="G6" s="145">
        <f t="shared" si="3"/>
        <v>375.49754397649815</v>
      </c>
      <c r="H6" s="132">
        <v>377</v>
      </c>
      <c r="I6" s="146">
        <f t="shared" si="4"/>
        <v>1.5024560235018498</v>
      </c>
    </row>
    <row r="7" spans="1:9" s="8" customFormat="1" ht="14.25">
      <c r="A7" s="104" t="s">
        <v>880</v>
      </c>
      <c r="B7" s="108">
        <v>7.52</v>
      </c>
      <c r="C7" s="22">
        <f t="shared" si="0"/>
        <v>0.752</v>
      </c>
      <c r="D7" s="22">
        <v>155</v>
      </c>
      <c r="E7" s="84">
        <f t="shared" si="1"/>
        <v>0.8487661574618097</v>
      </c>
      <c r="F7" s="84">
        <f t="shared" si="2"/>
        <v>9.12076615746181</v>
      </c>
      <c r="G7" s="145">
        <f t="shared" si="3"/>
        <v>640.1044896968273</v>
      </c>
      <c r="H7" s="132">
        <v>630</v>
      </c>
      <c r="I7" s="146">
        <f t="shared" si="4"/>
        <v>-10.104489696827272</v>
      </c>
    </row>
    <row r="8" spans="1:9" s="15" customFormat="1" ht="14.25">
      <c r="A8" s="103" t="s">
        <v>919</v>
      </c>
      <c r="B8" s="22">
        <v>5.17</v>
      </c>
      <c r="C8" s="22">
        <f t="shared" si="0"/>
        <v>0.517</v>
      </c>
      <c r="D8" s="22">
        <v>580</v>
      </c>
      <c r="E8" s="84">
        <f t="shared" si="1"/>
        <v>3.1760282021151585</v>
      </c>
      <c r="F8" s="84">
        <f t="shared" si="2"/>
        <v>8.863028202115158</v>
      </c>
      <c r="G8" s="145">
        <f t="shared" si="3"/>
        <v>622.016182252644</v>
      </c>
      <c r="H8" s="132">
        <v>617</v>
      </c>
      <c r="I8" s="146">
        <f t="shared" si="4"/>
        <v>-5.016182252643944</v>
      </c>
    </row>
    <row r="9" spans="1:9" s="15" customFormat="1" ht="14.25">
      <c r="A9" s="103" t="s">
        <v>1026</v>
      </c>
      <c r="B9" s="22">
        <v>20.75</v>
      </c>
      <c r="C9" s="22">
        <f t="shared" si="0"/>
        <v>2.075</v>
      </c>
      <c r="D9" s="22">
        <v>110</v>
      </c>
      <c r="E9" s="84">
        <f t="shared" si="1"/>
        <v>0.6023501762632197</v>
      </c>
      <c r="F9" s="84">
        <f t="shared" si="2"/>
        <v>23.427350176263218</v>
      </c>
      <c r="G9" s="145">
        <f t="shared" si="3"/>
        <v>1644.1548627203288</v>
      </c>
      <c r="H9" s="132">
        <f>1616+26</f>
        <v>1642</v>
      </c>
      <c r="I9" s="146">
        <f t="shared" si="4"/>
        <v>-2.154862720328765</v>
      </c>
    </row>
    <row r="10" spans="1:9" s="15" customFormat="1" ht="14.25">
      <c r="A10" s="103" t="s">
        <v>174</v>
      </c>
      <c r="B10" s="22">
        <v>9.58</v>
      </c>
      <c r="C10" s="22">
        <f t="shared" si="0"/>
        <v>0.9580000000000001</v>
      </c>
      <c r="D10" s="22">
        <v>270</v>
      </c>
      <c r="E10" s="84">
        <f t="shared" si="1"/>
        <v>1.4784958871915395</v>
      </c>
      <c r="F10" s="84">
        <f t="shared" si="2"/>
        <v>12.01649588719154</v>
      </c>
      <c r="G10" s="145">
        <f t="shared" si="3"/>
        <v>843.3296978589894</v>
      </c>
      <c r="H10" s="132">
        <v>855</v>
      </c>
      <c r="I10" s="146">
        <f t="shared" si="4"/>
        <v>11.670302141010552</v>
      </c>
    </row>
    <row r="11" spans="1:9" s="15" customFormat="1" ht="14.25">
      <c r="A11" s="103" t="s">
        <v>1214</v>
      </c>
      <c r="B11" s="22">
        <v>8.25</v>
      </c>
      <c r="C11" s="22">
        <f>B11*0.1</f>
        <v>0.8250000000000001</v>
      </c>
      <c r="D11" s="22">
        <v>240</v>
      </c>
      <c r="E11" s="84">
        <f>D11/$D$17*$E$17</f>
        <v>1.3142185663924795</v>
      </c>
      <c r="F11" s="84">
        <f>B11+E11+C11</f>
        <v>10.38921856639248</v>
      </c>
      <c r="G11" s="145">
        <f>F11*$G$1</f>
        <v>729.1257482079906</v>
      </c>
      <c r="H11" s="132">
        <v>694</v>
      </c>
      <c r="I11" s="146">
        <f>H11-G11</f>
        <v>-35.12574820799057</v>
      </c>
    </row>
    <row r="12" spans="1:9" s="15" customFormat="1" ht="14.25">
      <c r="A12" s="103" t="s">
        <v>1063</v>
      </c>
      <c r="B12" s="22">
        <v>4.08</v>
      </c>
      <c r="C12" s="22">
        <f>B12*0.1</f>
        <v>0.40800000000000003</v>
      </c>
      <c r="D12" s="22">
        <v>150</v>
      </c>
      <c r="E12" s="84">
        <f>D12/$D$17*$E$17</f>
        <v>0.8213866039952997</v>
      </c>
      <c r="F12" s="84">
        <f>B12+E12+C12</f>
        <v>5.3093866039953</v>
      </c>
      <c r="G12" s="145">
        <f>F12*$G$1</f>
        <v>372.61806125499413</v>
      </c>
      <c r="H12" s="132">
        <v>366</v>
      </c>
      <c r="I12" s="146">
        <f>H12-G12</f>
        <v>-6.618061254994132</v>
      </c>
    </row>
    <row r="13" spans="1:9" s="15" customFormat="1" ht="14.25">
      <c r="A13" s="103" t="s">
        <v>127</v>
      </c>
      <c r="B13" s="108">
        <v>7.64</v>
      </c>
      <c r="C13" s="22">
        <f>B13*0.1</f>
        <v>0.764</v>
      </c>
      <c r="D13" s="22">
        <v>345</v>
      </c>
      <c r="E13" s="84">
        <f>D13/$D$17*$E$17</f>
        <v>1.8891891891891894</v>
      </c>
      <c r="F13" s="84">
        <f>B13+E13+C13</f>
        <v>10.293189189189189</v>
      </c>
      <c r="G13" s="145">
        <f>F13*$G$1</f>
        <v>722.3863104864864</v>
      </c>
      <c r="H13" s="132">
        <v>694</v>
      </c>
      <c r="I13" s="146">
        <f>H13-G13</f>
        <v>-28.386310486486423</v>
      </c>
    </row>
    <row r="14" spans="1:9" s="15" customFormat="1" ht="14.25">
      <c r="A14" s="103" t="s">
        <v>918</v>
      </c>
      <c r="B14" s="108">
        <v>10.75</v>
      </c>
      <c r="C14" s="22">
        <f>B14*0.1</f>
        <v>1.075</v>
      </c>
      <c r="D14" s="108">
        <v>550</v>
      </c>
      <c r="E14" s="84">
        <f t="shared" si="1"/>
        <v>3.0117508813160985</v>
      </c>
      <c r="F14" s="84">
        <f>B14+E14+C14</f>
        <v>14.836750881316098</v>
      </c>
      <c r="G14" s="145">
        <f>F14*$G$1</f>
        <v>1041.258013601645</v>
      </c>
      <c r="H14" s="132">
        <v>1049</v>
      </c>
      <c r="I14" s="146">
        <f>H14-G14</f>
        <v>7.7419863983550385</v>
      </c>
    </row>
    <row r="15" spans="1:9" s="15" customFormat="1" ht="14.25">
      <c r="A15" s="103" t="s">
        <v>1168</v>
      </c>
      <c r="B15" s="22">
        <v>58.5</v>
      </c>
      <c r="C15" s="22">
        <f>B15*0.1</f>
        <v>5.8500000000000005</v>
      </c>
      <c r="D15" s="108">
        <v>675</v>
      </c>
      <c r="E15" s="84">
        <f t="shared" si="1"/>
        <v>3.6962397179788486</v>
      </c>
      <c r="F15" s="84">
        <f>B15+E15+C15</f>
        <v>68.04623971797885</v>
      </c>
      <c r="G15" s="145">
        <f>F15*$G$1</f>
        <v>4775.553149647473</v>
      </c>
      <c r="H15" s="132">
        <f>4712+64</f>
        <v>4776</v>
      </c>
      <c r="I15" s="146">
        <f>H15-G15</f>
        <v>0.4468503525267806</v>
      </c>
    </row>
    <row r="16" spans="1:10" s="8" customFormat="1" ht="14.25">
      <c r="A16" s="103" t="s">
        <v>224</v>
      </c>
      <c r="B16" s="85"/>
      <c r="C16" s="85"/>
      <c r="D16" s="22">
        <v>3960</v>
      </c>
      <c r="E16" s="84">
        <f t="shared" si="1"/>
        <v>21.684606345475913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8510</v>
      </c>
      <c r="E17" s="1">
        <v>46.6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tabSelected="1" zoomScale="80" zoomScaleNormal="80" zoomScalePageLayoutView="0" workbookViewId="0" topLeftCell="A1">
      <selection activeCell="F20" sqref="F20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205</v>
      </c>
      <c r="B1" s="10">
        <v>43017</v>
      </c>
      <c r="C1" s="10"/>
      <c r="D1" s="10"/>
      <c r="E1" s="10"/>
      <c r="F1" s="11" t="s">
        <v>206</v>
      </c>
      <c r="G1" s="106">
        <v>70.172</v>
      </c>
      <c r="H1" s="8" t="s">
        <v>207</v>
      </c>
      <c r="J1" s="154"/>
    </row>
    <row r="2" s="8" customFormat="1" ht="14.25">
      <c r="A2" s="33" t="s">
        <v>1306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880</v>
      </c>
      <c r="B4" s="22">
        <v>7.92</v>
      </c>
      <c r="C4" s="22">
        <f aca="true" t="shared" si="0" ref="C4:C9">B4*0.1</f>
        <v>0.792</v>
      </c>
      <c r="D4" s="108">
        <v>60</v>
      </c>
      <c r="E4" s="84">
        <f aca="true" t="shared" si="1" ref="E4:E15">D4/$D$16*$E$16</f>
        <v>0.327400468384075</v>
      </c>
      <c r="F4" s="84">
        <f aca="true" t="shared" si="2" ref="F4:F14">B4+E4+C4</f>
        <v>9.039400468384075</v>
      </c>
      <c r="G4" s="145">
        <f aca="true" t="shared" si="3" ref="G4:G9">F4*$G$1</f>
        <v>634.3128096674473</v>
      </c>
      <c r="H4" s="132">
        <v>631</v>
      </c>
      <c r="I4" s="146">
        <f aca="true" t="shared" si="4" ref="I4:I14">H4-G4</f>
        <v>-3.3128096674472545</v>
      </c>
    </row>
    <row r="5" spans="1:9" s="15" customFormat="1" ht="14.25">
      <c r="A5" s="103" t="s">
        <v>1307</v>
      </c>
      <c r="B5" s="22">
        <v>12.39</v>
      </c>
      <c r="C5" s="22">
        <f t="shared" si="0"/>
        <v>1.239</v>
      </c>
      <c r="D5" s="108">
        <v>280</v>
      </c>
      <c r="E5" s="84">
        <f t="shared" si="1"/>
        <v>1.5278688524590165</v>
      </c>
      <c r="F5" s="84">
        <f t="shared" si="2"/>
        <v>15.156868852459018</v>
      </c>
      <c r="G5" s="145">
        <f t="shared" si="3"/>
        <v>1063.5878011147543</v>
      </c>
      <c r="H5" s="132">
        <v>1020</v>
      </c>
      <c r="I5" s="146">
        <f t="shared" si="4"/>
        <v>-43.58780111475426</v>
      </c>
    </row>
    <row r="6" spans="1:9" s="8" customFormat="1" ht="14.25">
      <c r="A6" s="104" t="s">
        <v>418</v>
      </c>
      <c r="B6" s="108">
        <v>70.4</v>
      </c>
      <c r="C6" s="22">
        <f t="shared" si="0"/>
        <v>7.040000000000001</v>
      </c>
      <c r="D6" s="22">
        <v>200</v>
      </c>
      <c r="E6" s="84">
        <f t="shared" si="1"/>
        <v>1.0913348946135832</v>
      </c>
      <c r="F6" s="84">
        <f t="shared" si="2"/>
        <v>78.5313348946136</v>
      </c>
      <c r="G6" s="145">
        <f t="shared" si="3"/>
        <v>5510.700832224825</v>
      </c>
      <c r="H6" s="132">
        <v>5586</v>
      </c>
      <c r="I6" s="146">
        <f t="shared" si="4"/>
        <v>75.29916777517519</v>
      </c>
    </row>
    <row r="7" spans="1:9" s="15" customFormat="1" ht="14.25">
      <c r="A7" s="103" t="s">
        <v>1308</v>
      </c>
      <c r="B7" s="22">
        <v>4.88</v>
      </c>
      <c r="C7" s="22">
        <f t="shared" si="0"/>
        <v>0.488</v>
      </c>
      <c r="D7" s="22">
        <v>265</v>
      </c>
      <c r="E7" s="84">
        <f t="shared" si="1"/>
        <v>1.4460187353629976</v>
      </c>
      <c r="F7" s="84">
        <f t="shared" si="2"/>
        <v>6.814018735362998</v>
      </c>
      <c r="G7" s="145">
        <f t="shared" si="3"/>
        <v>478.1533226978923</v>
      </c>
      <c r="H7" s="119">
        <v>444</v>
      </c>
      <c r="I7" s="146">
        <f t="shared" si="4"/>
        <v>-34.15332269789229</v>
      </c>
    </row>
    <row r="8" spans="1:9" s="15" customFormat="1" ht="14.25">
      <c r="A8" s="103" t="s">
        <v>1220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1.7461358313817332</v>
      </c>
      <c r="F8" s="84">
        <f t="shared" si="2"/>
        <v>29.158135831381735</v>
      </c>
      <c r="G8" s="145">
        <f t="shared" si="3"/>
        <v>2046.084707559719</v>
      </c>
      <c r="H8" s="132">
        <v>1970</v>
      </c>
      <c r="I8" s="146">
        <f t="shared" si="4"/>
        <v>-76.08470755971894</v>
      </c>
    </row>
    <row r="9" spans="1:9" s="15" customFormat="1" ht="14.25">
      <c r="A9" s="103" t="s">
        <v>1309</v>
      </c>
      <c r="B9" s="22">
        <v>33.16</v>
      </c>
      <c r="C9" s="22">
        <f t="shared" si="0"/>
        <v>3.316</v>
      </c>
      <c r="D9" s="22">
        <v>2250</v>
      </c>
      <c r="E9" s="84">
        <f t="shared" si="1"/>
        <v>12.277517564402812</v>
      </c>
      <c r="F9" s="84">
        <f t="shared" si="2"/>
        <v>48.75351756440281</v>
      </c>
      <c r="G9" s="145">
        <f t="shared" si="3"/>
        <v>3421.131834529274</v>
      </c>
      <c r="H9" s="132">
        <v>3427</v>
      </c>
      <c r="I9" s="146">
        <f t="shared" si="4"/>
        <v>5.868165470726126</v>
      </c>
    </row>
    <row r="10" spans="1:9" s="15" customFormat="1" ht="14.25">
      <c r="A10" s="103" t="s">
        <v>61</v>
      </c>
      <c r="B10" s="22">
        <v>6.4</v>
      </c>
      <c r="C10" s="22">
        <f>B10*0.1</f>
        <v>0.6400000000000001</v>
      </c>
      <c r="D10" s="22">
        <v>595</v>
      </c>
      <c r="E10" s="84">
        <f t="shared" si="1"/>
        <v>3.2467213114754103</v>
      </c>
      <c r="F10" s="84">
        <f t="shared" si="2"/>
        <v>10.28672131147541</v>
      </c>
      <c r="G10" s="145">
        <f>F10*$G$1</f>
        <v>721.8398078688525</v>
      </c>
      <c r="H10" s="132">
        <v>695</v>
      </c>
      <c r="I10" s="146">
        <f t="shared" si="4"/>
        <v>-26.839807868852517</v>
      </c>
    </row>
    <row r="11" spans="1:9" s="15" customFormat="1" ht="14.25">
      <c r="A11" s="103" t="s">
        <v>140</v>
      </c>
      <c r="B11" s="22">
        <v>13.93</v>
      </c>
      <c r="C11" s="22">
        <f>B11*0.1</f>
        <v>1.393</v>
      </c>
      <c r="D11" s="22">
        <v>865</v>
      </c>
      <c r="E11" s="84">
        <f t="shared" si="1"/>
        <v>4.720023419203748</v>
      </c>
      <c r="F11" s="84">
        <f t="shared" si="2"/>
        <v>20.04302341920375</v>
      </c>
      <c r="G11" s="145">
        <f>F11*$G$1</f>
        <v>1406.4590393723654</v>
      </c>
      <c r="H11" s="132">
        <v>1380</v>
      </c>
      <c r="I11" s="146">
        <f t="shared" si="4"/>
        <v>-26.459039372365396</v>
      </c>
    </row>
    <row r="12" spans="1:9" s="15" customFormat="1" ht="14.25">
      <c r="A12" s="103" t="s">
        <v>174</v>
      </c>
      <c r="B12" s="108">
        <v>63.09</v>
      </c>
      <c r="C12" s="22">
        <f>B12*0.1</f>
        <v>6.309000000000001</v>
      </c>
      <c r="D12" s="22">
        <v>1385</v>
      </c>
      <c r="E12" s="84">
        <f t="shared" si="1"/>
        <v>7.557494145199064</v>
      </c>
      <c r="F12" s="84">
        <f t="shared" si="2"/>
        <v>76.95649414519906</v>
      </c>
      <c r="G12" s="145">
        <f>F12*$G$1</f>
        <v>5400.191107156908</v>
      </c>
      <c r="H12" s="132">
        <v>5371</v>
      </c>
      <c r="I12" s="146">
        <f t="shared" si="4"/>
        <v>-29.1911071569084</v>
      </c>
    </row>
    <row r="13" spans="1:9" s="15" customFormat="1" ht="14.25">
      <c r="A13" s="103" t="s">
        <v>565</v>
      </c>
      <c r="B13" s="108">
        <v>23.75</v>
      </c>
      <c r="C13" s="22">
        <f>B13*0.1</f>
        <v>2.375</v>
      </c>
      <c r="D13" s="108">
        <v>2050</v>
      </c>
      <c r="E13" s="84">
        <f t="shared" si="1"/>
        <v>11.186182669789229</v>
      </c>
      <c r="F13" s="84">
        <f t="shared" si="2"/>
        <v>37.31118266978923</v>
      </c>
      <c r="G13" s="145">
        <f>F13*$G$1</f>
        <v>2618.20031030445</v>
      </c>
      <c r="H13" s="119">
        <v>2609</v>
      </c>
      <c r="I13" s="146">
        <f t="shared" si="4"/>
        <v>-9.200310304449886</v>
      </c>
    </row>
    <row r="14" spans="1:9" s="15" customFormat="1" ht="14.25">
      <c r="A14" s="103" t="s">
        <v>127</v>
      </c>
      <c r="B14" s="22">
        <v>32.99</v>
      </c>
      <c r="C14" s="22">
        <f>B14*0.1</f>
        <v>3.2990000000000004</v>
      </c>
      <c r="D14" s="108">
        <v>250</v>
      </c>
      <c r="E14" s="84">
        <f t="shared" si="1"/>
        <v>1.364168618266979</v>
      </c>
      <c r="F14" s="84">
        <f t="shared" si="2"/>
        <v>37.65316861826698</v>
      </c>
      <c r="G14" s="145">
        <f>F14*$G$1</f>
        <v>2642.1981482810306</v>
      </c>
      <c r="H14" s="132">
        <v>2627</v>
      </c>
      <c r="I14" s="146">
        <f t="shared" si="4"/>
        <v>-15.198148281030626</v>
      </c>
    </row>
    <row r="15" spans="1:10" s="8" customFormat="1" ht="14.25">
      <c r="A15" s="103" t="s">
        <v>224</v>
      </c>
      <c r="B15" s="85"/>
      <c r="C15" s="85"/>
      <c r="D15" s="22">
        <v>4290</v>
      </c>
      <c r="E15" s="84">
        <f t="shared" si="1"/>
        <v>23.409133489461357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12810</v>
      </c>
      <c r="E16" s="1">
        <v>69.9</v>
      </c>
      <c r="F16" s="113"/>
      <c r="G16" s="28"/>
      <c r="H16" s="28"/>
      <c r="I16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E1">
      <selection activeCell="H4" sqref="H4:H14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205</v>
      </c>
      <c r="B1" s="10">
        <v>43017</v>
      </c>
      <c r="C1" s="10"/>
      <c r="D1" s="10"/>
      <c r="E1" s="10"/>
      <c r="F1" s="11" t="s">
        <v>206</v>
      </c>
      <c r="G1" s="106">
        <f>68.3861*1.02</f>
        <v>69.753822</v>
      </c>
      <c r="H1" s="8" t="s">
        <v>207</v>
      </c>
      <c r="J1" s="154"/>
    </row>
    <row r="2" s="8" customFormat="1" ht="14.25">
      <c r="A2" s="33" t="s">
        <v>1306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/>
      <c r="B4" s="22"/>
      <c r="C4" s="22">
        <f aca="true" t="shared" si="0" ref="C4:C9">B4*0.1</f>
        <v>0</v>
      </c>
      <c r="D4" s="108"/>
      <c r="E4" s="84" t="e">
        <f aca="true" t="shared" si="1" ref="E4:E15">D4/$D$16*$E$16</f>
        <v>#DIV/0!</v>
      </c>
      <c r="F4" s="84" t="e">
        <f aca="true" t="shared" si="2" ref="F4:F14">B4+E4+C4</f>
        <v>#DIV/0!</v>
      </c>
      <c r="G4" s="145" t="e">
        <f aca="true" t="shared" si="3" ref="G4:G9">F4*$G$1</f>
        <v>#DIV/0!</v>
      </c>
      <c r="H4" s="132"/>
      <c r="I4" s="146" t="e">
        <f aca="true" t="shared" si="4" ref="I4:I14">H4-G4</f>
        <v>#DIV/0!</v>
      </c>
    </row>
    <row r="5" spans="1:9" s="15" customFormat="1" ht="14.25">
      <c r="A5" s="103"/>
      <c r="B5" s="22"/>
      <c r="C5" s="22">
        <f t="shared" si="0"/>
        <v>0</v>
      </c>
      <c r="D5" s="108"/>
      <c r="E5" s="84" t="e">
        <f t="shared" si="1"/>
        <v>#DIV/0!</v>
      </c>
      <c r="F5" s="84" t="e">
        <f t="shared" si="2"/>
        <v>#DIV/0!</v>
      </c>
      <c r="G5" s="145" t="e">
        <f t="shared" si="3"/>
        <v>#DIV/0!</v>
      </c>
      <c r="H5" s="132"/>
      <c r="I5" s="146" t="e">
        <f t="shared" si="4"/>
        <v>#DIV/0!</v>
      </c>
    </row>
    <row r="6" spans="1:9" s="8" customFormat="1" ht="14.25">
      <c r="A6" s="104"/>
      <c r="B6" s="108"/>
      <c r="C6" s="22">
        <f t="shared" si="0"/>
        <v>0</v>
      </c>
      <c r="D6" s="22"/>
      <c r="E6" s="84" t="e">
        <f t="shared" si="1"/>
        <v>#DIV/0!</v>
      </c>
      <c r="F6" s="84" t="e">
        <f t="shared" si="2"/>
        <v>#DIV/0!</v>
      </c>
      <c r="G6" s="145" t="e">
        <f t="shared" si="3"/>
        <v>#DIV/0!</v>
      </c>
      <c r="H6" s="132"/>
      <c r="I6" s="146" t="e">
        <f t="shared" si="4"/>
        <v>#DIV/0!</v>
      </c>
    </row>
    <row r="7" spans="1:9" s="15" customFormat="1" ht="14.25">
      <c r="A7" s="103"/>
      <c r="B7" s="22"/>
      <c r="C7" s="22">
        <f t="shared" si="0"/>
        <v>0</v>
      </c>
      <c r="D7" s="22"/>
      <c r="E7" s="84" t="e">
        <f t="shared" si="1"/>
        <v>#DIV/0!</v>
      </c>
      <c r="F7" s="84" t="e">
        <f t="shared" si="2"/>
        <v>#DIV/0!</v>
      </c>
      <c r="G7" s="145" t="e">
        <f t="shared" si="3"/>
        <v>#DIV/0!</v>
      </c>
      <c r="H7" s="119"/>
      <c r="I7" s="146" t="e">
        <f t="shared" si="4"/>
        <v>#DIV/0!</v>
      </c>
    </row>
    <row r="8" spans="1:9" s="15" customFormat="1" ht="14.25">
      <c r="A8" s="103"/>
      <c r="B8" s="22"/>
      <c r="C8" s="22">
        <f t="shared" si="0"/>
        <v>0</v>
      </c>
      <c r="D8" s="22"/>
      <c r="E8" s="84" t="e">
        <f t="shared" si="1"/>
        <v>#DIV/0!</v>
      </c>
      <c r="F8" s="84" t="e">
        <f t="shared" si="2"/>
        <v>#DIV/0!</v>
      </c>
      <c r="G8" s="145" t="e">
        <f t="shared" si="3"/>
        <v>#DIV/0!</v>
      </c>
      <c r="H8" s="132"/>
      <c r="I8" s="146" t="e">
        <f t="shared" si="4"/>
        <v>#DIV/0!</v>
      </c>
    </row>
    <row r="9" spans="1:9" s="15" customFormat="1" ht="14.25">
      <c r="A9" s="103"/>
      <c r="B9" s="22"/>
      <c r="C9" s="22">
        <f t="shared" si="0"/>
        <v>0</v>
      </c>
      <c r="D9" s="22"/>
      <c r="E9" s="84" t="e">
        <f t="shared" si="1"/>
        <v>#DIV/0!</v>
      </c>
      <c r="F9" s="84" t="e">
        <f t="shared" si="2"/>
        <v>#DIV/0!</v>
      </c>
      <c r="G9" s="145" t="e">
        <f t="shared" si="3"/>
        <v>#DIV/0!</v>
      </c>
      <c r="H9" s="132"/>
      <c r="I9" s="146" t="e">
        <f t="shared" si="4"/>
        <v>#DIV/0!</v>
      </c>
    </row>
    <row r="10" spans="1:9" s="15" customFormat="1" ht="14.25">
      <c r="A10" s="103"/>
      <c r="B10" s="22"/>
      <c r="C10" s="22">
        <f>B10*0.1</f>
        <v>0</v>
      </c>
      <c r="D10" s="22"/>
      <c r="E10" s="84" t="e">
        <f t="shared" si="1"/>
        <v>#DIV/0!</v>
      </c>
      <c r="F10" s="84" t="e">
        <f t="shared" si="2"/>
        <v>#DIV/0!</v>
      </c>
      <c r="G10" s="145" t="e">
        <f>F10*$G$1</f>
        <v>#DIV/0!</v>
      </c>
      <c r="H10" s="132"/>
      <c r="I10" s="146" t="e">
        <f t="shared" si="4"/>
        <v>#DIV/0!</v>
      </c>
    </row>
    <row r="11" spans="1:9" s="15" customFormat="1" ht="14.25">
      <c r="A11" s="103"/>
      <c r="B11" s="22"/>
      <c r="C11" s="22">
        <f>B11*0.1</f>
        <v>0</v>
      </c>
      <c r="D11" s="22"/>
      <c r="E11" s="84" t="e">
        <f t="shared" si="1"/>
        <v>#DIV/0!</v>
      </c>
      <c r="F11" s="84" t="e">
        <f t="shared" si="2"/>
        <v>#DIV/0!</v>
      </c>
      <c r="G11" s="145" t="e">
        <f>F11*$G$1</f>
        <v>#DIV/0!</v>
      </c>
      <c r="H11" s="132"/>
      <c r="I11" s="146" t="e">
        <f t="shared" si="4"/>
        <v>#DIV/0!</v>
      </c>
    </row>
    <row r="12" spans="1:9" s="15" customFormat="1" ht="14.25">
      <c r="A12" s="103"/>
      <c r="B12" s="108"/>
      <c r="C12" s="22">
        <f>B12*0.1</f>
        <v>0</v>
      </c>
      <c r="D12" s="22"/>
      <c r="E12" s="84" t="e">
        <f t="shared" si="1"/>
        <v>#DIV/0!</v>
      </c>
      <c r="F12" s="84" t="e">
        <f t="shared" si="2"/>
        <v>#DIV/0!</v>
      </c>
      <c r="G12" s="145" t="e">
        <f>F12*$G$1</f>
        <v>#DIV/0!</v>
      </c>
      <c r="H12" s="132"/>
      <c r="I12" s="146" t="e">
        <f t="shared" si="4"/>
        <v>#DIV/0!</v>
      </c>
    </row>
    <row r="13" spans="1:9" s="15" customFormat="1" ht="14.25">
      <c r="A13" s="103"/>
      <c r="B13" s="108"/>
      <c r="C13" s="22">
        <f>B13*0.1</f>
        <v>0</v>
      </c>
      <c r="D13" s="108"/>
      <c r="E13" s="84" t="e">
        <f t="shared" si="1"/>
        <v>#DIV/0!</v>
      </c>
      <c r="F13" s="84" t="e">
        <f t="shared" si="2"/>
        <v>#DIV/0!</v>
      </c>
      <c r="G13" s="145" t="e">
        <f>F13*$G$1</f>
        <v>#DIV/0!</v>
      </c>
      <c r="H13" s="119"/>
      <c r="I13" s="146" t="e">
        <f t="shared" si="4"/>
        <v>#DIV/0!</v>
      </c>
    </row>
    <row r="14" spans="1:9" s="15" customFormat="1" ht="14.25">
      <c r="A14" s="103"/>
      <c r="B14" s="22"/>
      <c r="C14" s="22">
        <f>B14*0.1</f>
        <v>0</v>
      </c>
      <c r="D14" s="108"/>
      <c r="E14" s="84" t="e">
        <f t="shared" si="1"/>
        <v>#DIV/0!</v>
      </c>
      <c r="F14" s="84" t="e">
        <f t="shared" si="2"/>
        <v>#DIV/0!</v>
      </c>
      <c r="G14" s="145" t="e">
        <f>F14*$G$1</f>
        <v>#DIV/0!</v>
      </c>
      <c r="H14" s="132"/>
      <c r="I14" s="146" t="e">
        <f t="shared" si="4"/>
        <v>#DIV/0!</v>
      </c>
    </row>
    <row r="15" spans="1:10" s="8" customFormat="1" ht="14.25">
      <c r="A15" s="103" t="s">
        <v>224</v>
      </c>
      <c r="B15" s="85"/>
      <c r="C15" s="85"/>
      <c r="D15" s="22"/>
      <c r="E15" s="84" t="e">
        <f t="shared" si="1"/>
        <v>#DIV/0!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0</v>
      </c>
      <c r="E16" s="1">
        <v>69.9</v>
      </c>
      <c r="F16" s="113"/>
      <c r="G16" s="28"/>
      <c r="H16" s="28"/>
      <c r="I16" s="28"/>
    </row>
    <row r="19" ht="28.5">
      <c r="A19" s="107" t="s">
        <v>887</v>
      </c>
    </row>
    <row r="20" ht="28.5">
      <c r="A20" s="107" t="s">
        <v>1295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205</v>
      </c>
      <c r="B1" s="10">
        <v>41400</v>
      </c>
      <c r="C1" s="10"/>
      <c r="D1" s="11" t="s">
        <v>206</v>
      </c>
      <c r="E1" s="12">
        <v>41.54</v>
      </c>
      <c r="G1" s="8" t="s">
        <v>207</v>
      </c>
    </row>
    <row r="2" s="8" customFormat="1" ht="23.25" customHeight="1">
      <c r="A2" s="33" t="s">
        <v>252</v>
      </c>
    </row>
    <row r="3" spans="1:9" s="15" customFormat="1" ht="57.7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4.2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253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109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254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236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224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255</v>
      </c>
    </row>
    <row r="18" ht="30.75">
      <c r="A18" s="50" t="s">
        <v>256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257</v>
      </c>
      <c r="B20" s="54"/>
      <c r="C20" s="55"/>
      <c r="D20" s="55">
        <v>1</v>
      </c>
      <c r="E20" s="55"/>
      <c r="F20" s="54">
        <v>5.9</v>
      </c>
      <c r="G20" s="56" t="s">
        <v>258</v>
      </c>
      <c r="H20" s="8"/>
      <c r="I20" s="8"/>
      <c r="J20" s="8"/>
      <c r="K20" s="8"/>
      <c r="O20" s="57"/>
      <c r="P20" s="58" t="s">
        <v>259</v>
      </c>
    </row>
    <row r="21" spans="1:11" ht="14.25">
      <c r="A21" s="55" t="s">
        <v>257</v>
      </c>
      <c r="B21" s="55"/>
      <c r="C21" s="55"/>
      <c r="D21" s="55">
        <v>1</v>
      </c>
      <c r="E21" s="55"/>
      <c r="F21" s="54">
        <v>17.9</v>
      </c>
      <c r="G21" s="59" t="s">
        <v>260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261</v>
      </c>
      <c r="H22" s="8"/>
      <c r="I22" s="8"/>
      <c r="J22" s="8"/>
      <c r="K22" s="8"/>
    </row>
    <row r="23" s="51" customFormat="1" ht="30.75">
      <c r="A23" s="51" t="s">
        <v>236</v>
      </c>
    </row>
    <row r="24" spans="1:7" ht="14.25">
      <c r="A24" s="55"/>
      <c r="B24" s="55"/>
      <c r="C24" s="55"/>
      <c r="D24" s="55"/>
      <c r="E24" s="55"/>
      <c r="F24" s="57"/>
      <c r="G24" s="58" t="s">
        <v>262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263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205</v>
      </c>
      <c r="B1" s="10">
        <v>41400</v>
      </c>
      <c r="C1" s="10"/>
      <c r="D1" s="11" t="s">
        <v>206</v>
      </c>
      <c r="E1" s="12">
        <v>41.54</v>
      </c>
      <c r="G1" s="8" t="s">
        <v>207</v>
      </c>
    </row>
    <row r="2" s="8" customFormat="1" ht="23.25" customHeight="1">
      <c r="A2" s="33" t="s">
        <v>252</v>
      </c>
    </row>
    <row r="3" spans="1:9" s="15" customFormat="1" ht="57.7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95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114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134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157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129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264</v>
      </c>
    </row>
    <row r="11" spans="1:9" s="8" customFormat="1" ht="14.25">
      <c r="A11" s="4" t="s">
        <v>131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105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198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143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224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255</v>
      </c>
    </row>
    <row r="22" ht="30.75">
      <c r="A22" s="50" t="s">
        <v>256</v>
      </c>
    </row>
    <row r="23" s="51" customFormat="1" ht="30.75">
      <c r="A23" s="51" t="s">
        <v>134</v>
      </c>
    </row>
    <row r="24" spans="1:7" ht="14.25">
      <c r="A24" s="55"/>
      <c r="B24" s="55"/>
      <c r="C24" s="55"/>
      <c r="D24" s="55"/>
      <c r="E24" s="55"/>
      <c r="F24" s="64"/>
      <c r="G24" s="65" t="s">
        <v>265</v>
      </c>
    </row>
    <row r="25" s="51" customFormat="1" ht="30.75">
      <c r="A25" s="51" t="s">
        <v>157</v>
      </c>
    </row>
    <row r="26" spans="1:10" ht="14.25">
      <c r="A26" s="66"/>
      <c r="D26" s="54"/>
      <c r="E26" s="54"/>
      <c r="F26" s="62"/>
      <c r="G26" s="56" t="s">
        <v>266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267</v>
      </c>
      <c r="H27" s="8"/>
      <c r="I27" s="8"/>
      <c r="J27" s="8"/>
    </row>
    <row r="28" s="51" customFormat="1" ht="30.75">
      <c r="A28" s="51" t="s">
        <v>198</v>
      </c>
    </row>
    <row r="29" spans="1:7" ht="14.25">
      <c r="A29" s="67" t="s">
        <v>268</v>
      </c>
      <c r="F29" s="57"/>
      <c r="G29" s="58" t="s">
        <v>269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270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41410</v>
      </c>
      <c r="C1" s="10"/>
      <c r="D1" s="11" t="s">
        <v>206</v>
      </c>
      <c r="E1" s="12">
        <v>41.28</v>
      </c>
      <c r="G1" s="8" t="s">
        <v>207</v>
      </c>
    </row>
    <row r="2" s="8" customFormat="1" ht="23.25" customHeight="1">
      <c r="A2" s="33" t="s">
        <v>271</v>
      </c>
    </row>
    <row r="3" spans="1:9" s="15" customFormat="1" ht="57.7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4.25">
      <c r="A4" s="4" t="s">
        <v>198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149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105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189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203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175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236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224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255</v>
      </c>
    </row>
    <row r="26" ht="30.75">
      <c r="A26" s="50" t="s">
        <v>256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272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273</v>
      </c>
      <c r="G30" s="8"/>
      <c r="H30" s="8"/>
      <c r="I30" s="8"/>
      <c r="J30" s="8"/>
    </row>
    <row r="31" s="51" customFormat="1" ht="30.75">
      <c r="A31" s="51" t="s">
        <v>236</v>
      </c>
    </row>
    <row r="32" spans="1:6" ht="14.25">
      <c r="A32" s="55"/>
      <c r="B32" s="55"/>
      <c r="C32" s="55"/>
      <c r="D32" s="55"/>
      <c r="E32" s="57"/>
      <c r="F32" s="58" t="s">
        <v>262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263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41425</v>
      </c>
      <c r="C1" s="10"/>
      <c r="D1" s="11" t="s">
        <v>206</v>
      </c>
      <c r="E1" s="12">
        <v>42.24</v>
      </c>
      <c r="G1" s="8" t="s">
        <v>207</v>
      </c>
    </row>
    <row r="2" s="8" customFormat="1" ht="23.25" customHeight="1">
      <c r="A2" s="33" t="s">
        <v>274</v>
      </c>
    </row>
    <row r="3" spans="1:9" s="15" customFormat="1" ht="57.7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198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176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275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276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95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163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94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174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224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277</v>
      </c>
    </row>
    <row r="21" s="69" customFormat="1" ht="30.75">
      <c r="A21" s="50"/>
    </row>
    <row r="23" ht="30.75">
      <c r="A23" s="50" t="s">
        <v>255</v>
      </c>
    </row>
    <row r="24" ht="30.75">
      <c r="A24" s="50" t="s">
        <v>256</v>
      </c>
    </row>
    <row r="25" spans="1:6" s="51" customFormat="1" ht="30.75">
      <c r="A25" s="51" t="s">
        <v>275</v>
      </c>
      <c r="F25" s="68"/>
    </row>
    <row r="26" spans="1:6" ht="14.25">
      <c r="A26" s="55"/>
      <c r="B26" s="55"/>
      <c r="C26" s="55"/>
      <c r="D26" s="55"/>
      <c r="E26" s="64"/>
      <c r="F26" s="58" t="s">
        <v>278</v>
      </c>
    </row>
    <row r="27" spans="1:6" ht="14.25">
      <c r="A27" s="55"/>
      <c r="B27" s="55"/>
      <c r="C27" s="55"/>
      <c r="D27" s="55"/>
      <c r="E27" s="64"/>
      <c r="F27" s="58" t="s">
        <v>279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41214</v>
      </c>
      <c r="C1" s="10"/>
      <c r="D1" s="11" t="s">
        <v>206</v>
      </c>
      <c r="E1" s="12">
        <f>41.18</f>
        <v>41.18</v>
      </c>
      <c r="F1" s="8" t="s">
        <v>207</v>
      </c>
    </row>
    <row r="2" ht="23.25" customHeight="1"/>
    <row r="3" spans="1:9" s="15" customFormat="1" ht="30" customHeight="1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4.25">
      <c r="A4" s="4" t="s">
        <v>217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218</v>
      </c>
    </row>
    <row r="6" spans="1:9" ht="14.25">
      <c r="A6" s="4" t="s">
        <v>163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176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143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195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219</v>
      </c>
    </row>
    <row r="10" spans="1:10" ht="14.25">
      <c r="A10" s="4" t="s">
        <v>88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220</v>
      </c>
    </row>
    <row r="11" spans="1:10" ht="14.25">
      <c r="A11" s="4" t="s">
        <v>175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221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222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41459</v>
      </c>
      <c r="C1" s="10"/>
      <c r="D1" s="11" t="s">
        <v>206</v>
      </c>
      <c r="E1" s="12">
        <v>43.98</v>
      </c>
      <c r="G1" s="8" t="s">
        <v>207</v>
      </c>
    </row>
    <row r="2" s="8" customFormat="1" ht="23.25" customHeight="1">
      <c r="A2" s="33" t="s">
        <v>280</v>
      </c>
    </row>
    <row r="3" spans="1:9" s="15" customFormat="1" ht="57.7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4.25">
      <c r="A4" s="4" t="s">
        <v>236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254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174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166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281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133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282</v>
      </c>
    </row>
    <row r="11" spans="1:9" s="8" customFormat="1" ht="14.25">
      <c r="A11" s="4" t="s">
        <v>283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96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182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127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284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134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109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275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224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255</v>
      </c>
    </row>
    <row r="26" ht="30.75">
      <c r="A26" s="50" t="s">
        <v>256</v>
      </c>
    </row>
    <row r="27" spans="1:6" s="51" customFormat="1" ht="30.75">
      <c r="A27" s="51" t="s">
        <v>96</v>
      </c>
      <c r="F27" s="68"/>
    </row>
    <row r="28" spans="1:6" ht="14.25">
      <c r="A28" s="55"/>
      <c r="B28" s="55"/>
      <c r="C28" s="55"/>
      <c r="D28" s="55"/>
      <c r="E28" s="64"/>
      <c r="F28" s="58" t="s">
        <v>285</v>
      </c>
    </row>
    <row r="29" spans="1:6" ht="14.25">
      <c r="A29" s="55"/>
      <c r="B29" s="55"/>
      <c r="C29" s="55"/>
      <c r="D29" s="55"/>
      <c r="E29" s="64"/>
      <c r="F29" s="58" t="s">
        <v>286</v>
      </c>
    </row>
    <row r="30" spans="1:6" ht="30.75">
      <c r="A30" s="51" t="s">
        <v>287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288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205</v>
      </c>
      <c r="B1" s="10">
        <v>41477</v>
      </c>
      <c r="C1" s="10"/>
      <c r="D1" s="11" t="s">
        <v>206</v>
      </c>
      <c r="E1" s="12">
        <v>43.43</v>
      </c>
      <c r="G1" s="8" t="s">
        <v>207</v>
      </c>
    </row>
    <row r="2" s="8" customFormat="1" ht="23.25" customHeight="1">
      <c r="A2" s="33" t="s">
        <v>289</v>
      </c>
    </row>
    <row r="3" spans="1:9" s="15" customFormat="1" ht="57.7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4.25">
      <c r="A4" s="4" t="s">
        <v>96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254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217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120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155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236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159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290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224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205</v>
      </c>
      <c r="B1" s="10">
        <v>41498</v>
      </c>
      <c r="C1" s="10"/>
      <c r="D1" s="11" t="s">
        <v>206</v>
      </c>
      <c r="E1" s="12">
        <v>44.85</v>
      </c>
      <c r="G1" s="8" t="s">
        <v>207</v>
      </c>
    </row>
    <row r="2" s="8" customFormat="1" ht="23.25" customHeight="1">
      <c r="A2" s="33" t="s">
        <v>291</v>
      </c>
    </row>
    <row r="3" spans="1:7" s="15" customFormat="1" ht="43.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102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127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297</v>
      </c>
    </row>
    <row r="9" spans="1:7" s="8" customFormat="1" ht="15">
      <c r="A9" s="4" t="s">
        <v>298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254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163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181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224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299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300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205</v>
      </c>
      <c r="B1" s="10">
        <v>41536</v>
      </c>
      <c r="C1" s="10"/>
      <c r="D1" s="11" t="s">
        <v>206</v>
      </c>
      <c r="E1" s="12">
        <v>43.86</v>
      </c>
      <c r="G1" s="8" t="s">
        <v>207</v>
      </c>
    </row>
    <row r="2" s="8" customFormat="1" ht="23.25" customHeight="1">
      <c r="A2" s="33" t="s">
        <v>301</v>
      </c>
    </row>
    <row r="3" spans="1:7" s="15" customFormat="1" ht="57.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188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127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102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254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302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163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224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205</v>
      </c>
      <c r="B1" s="10">
        <v>41561</v>
      </c>
      <c r="C1" s="10"/>
      <c r="D1" s="11" t="s">
        <v>206</v>
      </c>
      <c r="E1" s="12">
        <v>44.58</v>
      </c>
      <c r="G1" s="8" t="s">
        <v>207</v>
      </c>
    </row>
    <row r="2" s="8" customFormat="1" ht="23.25" customHeight="1">
      <c r="A2" s="33" t="s">
        <v>303</v>
      </c>
    </row>
    <row r="3" spans="1:7" s="15" customFormat="1" ht="43.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174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123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125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172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254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175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290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197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159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224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41582</v>
      </c>
      <c r="C1" s="10"/>
      <c r="D1" s="11" t="s">
        <v>206</v>
      </c>
      <c r="E1" s="12">
        <v>44.68</v>
      </c>
      <c r="G1" s="8" t="s">
        <v>207</v>
      </c>
    </row>
    <row r="2" spans="1:2" s="8" customFormat="1" ht="23.25" customHeight="1">
      <c r="A2" s="33" t="s">
        <v>304</v>
      </c>
      <c r="B2" s="87"/>
    </row>
    <row r="3" spans="1:7" s="15" customFormat="1" ht="57.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137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121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135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305</v>
      </c>
    </row>
    <row r="9" spans="1:8" s="8" customFormat="1" ht="14.25">
      <c r="A9" s="4" t="s">
        <v>174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306</v>
      </c>
    </row>
    <row r="10" spans="1:7" s="8" customFormat="1" ht="14.25">
      <c r="A10" s="4" t="s">
        <v>108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199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254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119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307</v>
      </c>
    </row>
    <row r="16" spans="1:7" s="8" customFormat="1" ht="14.25">
      <c r="A16" s="7" t="s">
        <v>163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224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308</v>
      </c>
    </row>
    <row r="21" spans="1:47" s="51" customFormat="1" ht="30.75">
      <c r="A21" s="51" t="s">
        <v>236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309</v>
      </c>
    </row>
    <row r="23" spans="1:3" ht="26.25" customHeight="1">
      <c r="A23" s="51" t="s">
        <v>135</v>
      </c>
      <c r="B23" s="52"/>
      <c r="C23" s="52"/>
    </row>
    <row r="24" spans="1:3" ht="14.25">
      <c r="A24" s="55"/>
      <c r="B24" s="58" t="s">
        <v>310</v>
      </c>
      <c r="C24" s="55"/>
    </row>
    <row r="25" spans="1:3" ht="14.25">
      <c r="A25" s="55"/>
      <c r="B25" s="58" t="s">
        <v>311</v>
      </c>
      <c r="C25" s="55"/>
    </row>
    <row r="26" spans="1:3" ht="14.25">
      <c r="A26" s="55"/>
      <c r="B26" s="58" t="s">
        <v>312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313</v>
      </c>
      <c r="C28" s="55"/>
    </row>
    <row r="31" ht="30.75">
      <c r="A31" s="50" t="s">
        <v>314</v>
      </c>
    </row>
    <row r="32" ht="30.75">
      <c r="A32" s="50" t="s">
        <v>315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41609</v>
      </c>
      <c r="C1" s="10"/>
      <c r="D1" s="11" t="s">
        <v>206</v>
      </c>
      <c r="E1" s="12">
        <v>45.95</v>
      </c>
      <c r="G1" s="8" t="s">
        <v>207</v>
      </c>
    </row>
    <row r="2" spans="1:2" s="8" customFormat="1" ht="23.25" customHeight="1">
      <c r="A2" s="33" t="s">
        <v>316</v>
      </c>
      <c r="B2" s="87"/>
    </row>
    <row r="3" spans="1:7" s="15" customFormat="1" ht="57.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102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107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171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134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317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176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174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158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318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97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224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308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319</v>
      </c>
      <c r="B24" s="58"/>
    </row>
    <row r="25" spans="1:3" ht="26.25" customHeight="1">
      <c r="A25" s="92" t="s">
        <v>107</v>
      </c>
      <c r="B25" s="52"/>
      <c r="C25" s="52"/>
    </row>
    <row r="26" spans="1:3" ht="14.25">
      <c r="A26" s="58" t="s">
        <v>320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321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313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322</v>
      </c>
    </row>
    <row r="35" ht="30.75">
      <c r="A35" s="50" t="s">
        <v>323</v>
      </c>
    </row>
    <row r="36" ht="30.75">
      <c r="A36" s="50" t="s">
        <v>315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41638</v>
      </c>
      <c r="C1" s="10"/>
      <c r="D1" s="11" t="s">
        <v>206</v>
      </c>
      <c r="E1" s="12">
        <v>45.99</v>
      </c>
      <c r="G1" s="8" t="s">
        <v>207</v>
      </c>
    </row>
    <row r="2" spans="1:2" s="8" customFormat="1" ht="23.25" customHeight="1">
      <c r="A2" s="33" t="s">
        <v>324</v>
      </c>
      <c r="B2" s="87"/>
    </row>
    <row r="3" spans="1:7" s="15" customFormat="1" ht="57.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174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236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198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89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133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283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224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308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325</v>
      </c>
      <c r="B18" s="58"/>
    </row>
    <row r="19" spans="1:3" ht="26.25" customHeight="1">
      <c r="A19" s="51" t="s">
        <v>155</v>
      </c>
      <c r="B19" s="52"/>
      <c r="C19" s="52"/>
    </row>
    <row r="20" spans="1:3" ht="14.25">
      <c r="A20" s="93" t="s">
        <v>326</v>
      </c>
      <c r="B20" s="59"/>
      <c r="C20" s="55"/>
    </row>
    <row r="21" spans="1:3" ht="30.75">
      <c r="A21" s="51" t="s">
        <v>107</v>
      </c>
      <c r="B21" s="52"/>
      <c r="C21" s="52"/>
    </row>
    <row r="22" spans="1:3" ht="14.25">
      <c r="A22" s="58" t="s">
        <v>327</v>
      </c>
      <c r="B22" s="59"/>
      <c r="C22" s="55"/>
    </row>
    <row r="24" ht="30.75">
      <c r="A24" s="50" t="s">
        <v>328</v>
      </c>
    </row>
    <row r="25" ht="30.75">
      <c r="A25" s="50" t="s">
        <v>315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41651</v>
      </c>
      <c r="C1" s="10"/>
      <c r="D1" s="11" t="s">
        <v>206</v>
      </c>
      <c r="E1" s="12">
        <v>45.98</v>
      </c>
      <c r="G1" s="8" t="s">
        <v>207</v>
      </c>
    </row>
    <row r="2" spans="1:2" s="8" customFormat="1" ht="23.25" customHeight="1">
      <c r="A2" s="33" t="s">
        <v>329</v>
      </c>
      <c r="B2" s="87"/>
    </row>
    <row r="3" spans="1:7" s="15" customFormat="1" ht="57.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125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330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155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331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332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97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89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224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308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325</v>
      </c>
      <c r="B19" s="58"/>
    </row>
    <row r="20" spans="1:3" ht="26.25" customHeight="1">
      <c r="A20" s="51" t="s">
        <v>89</v>
      </c>
      <c r="B20" s="52"/>
      <c r="C20" s="52"/>
    </row>
    <row r="21" spans="1:3" ht="14.25">
      <c r="A21" s="58" t="s">
        <v>333</v>
      </c>
      <c r="B21" s="59"/>
      <c r="C21" s="55"/>
    </row>
    <row r="22" spans="1:3" ht="30.75">
      <c r="A22" s="51" t="s">
        <v>107</v>
      </c>
      <c r="B22" s="52"/>
      <c r="C22" s="52"/>
    </row>
    <row r="23" spans="1:3" ht="14.25">
      <c r="A23" s="58" t="s">
        <v>327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334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41664</v>
      </c>
      <c r="C1" s="10"/>
      <c r="D1" s="11" t="s">
        <v>206</v>
      </c>
      <c r="E1" s="12">
        <v>46.75</v>
      </c>
      <c r="G1" s="8" t="s">
        <v>207</v>
      </c>
    </row>
    <row r="2" spans="1:2" s="8" customFormat="1" ht="23.25" customHeight="1">
      <c r="A2" s="33" t="s">
        <v>335</v>
      </c>
      <c r="B2" s="87"/>
    </row>
    <row r="3" spans="1:7" s="15" customFormat="1" ht="57.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182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125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151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284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89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336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254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147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110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174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224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308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325</v>
      </c>
      <c r="B24" s="58"/>
    </row>
    <row r="25" spans="1:3" ht="26.25" customHeight="1">
      <c r="A25" s="51" t="s">
        <v>131</v>
      </c>
      <c r="B25" s="52"/>
      <c r="C25" s="52"/>
    </row>
    <row r="26" spans="1:3" ht="14.25">
      <c r="A26" s="93" t="s">
        <v>337</v>
      </c>
      <c r="B26" s="59"/>
      <c r="C26" s="55"/>
    </row>
    <row r="27" spans="1:3" ht="30.75">
      <c r="A27" s="51" t="s">
        <v>174</v>
      </c>
      <c r="B27" s="52"/>
      <c r="C27" s="52"/>
    </row>
    <row r="28" spans="1:3" ht="14.25">
      <c r="A28" s="58" t="s">
        <v>338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41220</v>
      </c>
      <c r="C1" s="10"/>
      <c r="D1" s="11" t="s">
        <v>206</v>
      </c>
      <c r="E1" s="12">
        <v>41.2</v>
      </c>
      <c r="F1" s="8" t="s">
        <v>207</v>
      </c>
    </row>
    <row r="2" ht="23.25" customHeight="1"/>
    <row r="3" spans="1:9" s="15" customFormat="1" ht="43.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4.25">
      <c r="A4" s="4" t="s">
        <v>224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161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176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203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174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225</v>
      </c>
    </row>
    <row r="11" spans="1:9" ht="14.25">
      <c r="A11" s="4" t="s">
        <v>188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205</v>
      </c>
      <c r="B1" s="10">
        <v>41682</v>
      </c>
      <c r="C1" s="10"/>
      <c r="D1" s="11" t="s">
        <v>206</v>
      </c>
      <c r="E1" s="12">
        <v>48.38</v>
      </c>
      <c r="G1" s="8" t="s">
        <v>207</v>
      </c>
    </row>
    <row r="2" spans="1:2" s="8" customFormat="1" ht="23.25" customHeight="1">
      <c r="A2" s="33" t="s">
        <v>339</v>
      </c>
      <c r="B2" s="87"/>
    </row>
    <row r="3" spans="1:7" s="15" customFormat="1" ht="57.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175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95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159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89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127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140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340</v>
      </c>
    </row>
    <row r="16" spans="1:7" s="8" customFormat="1" ht="14.25">
      <c r="A16" s="7" t="s">
        <v>224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308</v>
      </c>
    </row>
    <row r="21" spans="1:47" s="51" customFormat="1" ht="30.75">
      <c r="A21" s="51" t="s">
        <v>175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341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205</v>
      </c>
      <c r="B1" s="10">
        <v>41682</v>
      </c>
      <c r="C1" s="10"/>
      <c r="D1" s="11" t="s">
        <v>206</v>
      </c>
      <c r="E1" s="12">
        <v>48.38</v>
      </c>
      <c r="G1" s="8" t="s">
        <v>207</v>
      </c>
    </row>
    <row r="2" spans="1:2" s="8" customFormat="1" ht="23.25" customHeight="1">
      <c r="A2" s="33" t="s">
        <v>339</v>
      </c>
      <c r="B2" s="87"/>
    </row>
    <row r="3" spans="1:7" s="15" customFormat="1" ht="57.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191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330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170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103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126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188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204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193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342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142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133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155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343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97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118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242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205</v>
      </c>
      <c r="B1" s="10">
        <v>41701</v>
      </c>
      <c r="C1" s="10"/>
      <c r="D1" s="11" t="s">
        <v>206</v>
      </c>
      <c r="E1" s="12">
        <v>50.96</v>
      </c>
      <c r="G1" s="8" t="s">
        <v>207</v>
      </c>
    </row>
    <row r="2" spans="1:2" s="8" customFormat="1" ht="23.25" customHeight="1">
      <c r="A2" s="33" t="s">
        <v>344</v>
      </c>
      <c r="B2" s="87"/>
    </row>
    <row r="3" spans="1:7" s="15" customFormat="1" ht="57.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197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345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346</v>
      </c>
    </row>
    <row r="9" spans="1:7" s="8" customFormat="1" ht="14.25">
      <c r="A9" s="4" t="s">
        <v>113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347</v>
      </c>
    </row>
    <row r="11" spans="1:8" s="8" customFormat="1" ht="14.25">
      <c r="A11" s="4" t="s">
        <v>175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162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242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308</v>
      </c>
    </row>
    <row r="17" spans="1:3" ht="30.75">
      <c r="A17" s="51" t="s">
        <v>71</v>
      </c>
      <c r="B17" s="94"/>
      <c r="C17" s="94"/>
    </row>
    <row r="18" ht="14.25">
      <c r="A18" s="58" t="s">
        <v>348</v>
      </c>
    </row>
    <row r="19" ht="14.25">
      <c r="A19" s="58" t="s">
        <v>349</v>
      </c>
    </row>
    <row r="20" ht="14.25">
      <c r="A20" s="58" t="s">
        <v>350</v>
      </c>
    </row>
    <row r="21" spans="1:3" ht="30.75">
      <c r="A21" s="51" t="s">
        <v>49</v>
      </c>
      <c r="B21" s="51"/>
      <c r="C21" s="51"/>
    </row>
    <row r="22" ht="14.25">
      <c r="A22" s="58" t="s">
        <v>351</v>
      </c>
    </row>
    <row r="23" spans="1:3" ht="30.75">
      <c r="A23" s="51" t="s">
        <v>352</v>
      </c>
      <c r="B23" s="51"/>
      <c r="C23" s="51"/>
    </row>
    <row r="24" ht="14.25">
      <c r="A24" s="58" t="s">
        <v>353</v>
      </c>
    </row>
    <row r="25" spans="1:3" ht="30.75">
      <c r="A25" s="51" t="s">
        <v>354</v>
      </c>
      <c r="B25" s="51"/>
      <c r="C25" s="51"/>
    </row>
    <row r="26" ht="14.25">
      <c r="A26" s="58" t="s">
        <v>355</v>
      </c>
    </row>
    <row r="27" spans="1:3" ht="30.75">
      <c r="A27" s="51" t="s">
        <v>5</v>
      </c>
      <c r="B27" s="51"/>
      <c r="C27" s="51"/>
    </row>
    <row r="28" ht="14.25">
      <c r="A28" s="58" t="s">
        <v>356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205</v>
      </c>
      <c r="B1" s="10">
        <v>41722</v>
      </c>
      <c r="C1" s="10"/>
      <c r="D1" s="11" t="s">
        <v>206</v>
      </c>
      <c r="E1" s="12">
        <v>50.71</v>
      </c>
      <c r="G1" s="8" t="s">
        <v>207</v>
      </c>
    </row>
    <row r="2" spans="1:2" s="8" customFormat="1" ht="23.25" customHeight="1">
      <c r="A2" s="33" t="s">
        <v>357</v>
      </c>
      <c r="B2" s="87"/>
    </row>
    <row r="3" spans="1:7" s="15" customFormat="1" ht="57.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169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155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358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359</v>
      </c>
    </row>
    <row r="9" spans="1:8" s="8" customFormat="1" ht="14.25">
      <c r="A9" s="4" t="s">
        <v>174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89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104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360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361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154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126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242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308</v>
      </c>
    </row>
    <row r="23" spans="1:2" ht="30.75">
      <c r="A23" s="51" t="s">
        <v>104</v>
      </c>
      <c r="B23" s="95" t="s">
        <v>362</v>
      </c>
    </row>
    <row r="24" ht="14.25">
      <c r="A24" s="58" t="s">
        <v>363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205</v>
      </c>
      <c r="B1" s="10">
        <v>41746</v>
      </c>
      <c r="C1" s="10"/>
      <c r="D1" s="11" t="s">
        <v>206</v>
      </c>
      <c r="E1" s="12">
        <v>50.11</v>
      </c>
      <c r="G1" s="8" t="s">
        <v>207</v>
      </c>
    </row>
    <row r="2" spans="1:2" s="8" customFormat="1" ht="23.25" customHeight="1">
      <c r="A2" s="33" t="s">
        <v>364</v>
      </c>
      <c r="B2" s="87"/>
    </row>
    <row r="3" spans="1:7" s="15" customFormat="1" ht="57.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361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141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192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365</v>
      </c>
    </row>
    <row r="9" spans="1:8" s="8" customFormat="1" ht="14.25">
      <c r="A9" s="4" t="s">
        <v>155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182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366</v>
      </c>
    </row>
    <row r="11" spans="1:8" s="8" customFormat="1" ht="14.25">
      <c r="A11" s="4" t="s">
        <v>118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367</v>
      </c>
    </row>
    <row r="12" spans="1:8" s="8" customFormat="1" ht="14.25">
      <c r="A12" s="4" t="s">
        <v>127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193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368</v>
      </c>
    </row>
    <row r="15" spans="1:7" s="8" customFormat="1" ht="14.25">
      <c r="A15" s="7" t="s">
        <v>242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205</v>
      </c>
      <c r="B1" s="10">
        <v>41749</v>
      </c>
      <c r="C1" s="10"/>
      <c r="D1" s="11" t="s">
        <v>206</v>
      </c>
      <c r="E1" s="12">
        <v>48.33</v>
      </c>
      <c r="G1" s="8" t="s">
        <v>207</v>
      </c>
    </row>
    <row r="2" spans="1:2" s="8" customFormat="1" ht="23.25" customHeight="1">
      <c r="A2" s="33" t="s">
        <v>369</v>
      </c>
      <c r="B2" s="87"/>
    </row>
    <row r="3" spans="1:7" s="15" customFormat="1" ht="57.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360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174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91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103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196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370</v>
      </c>
    </row>
    <row r="10" spans="1:8" s="8" customFormat="1" ht="14.25">
      <c r="A10" s="4" t="s">
        <v>145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186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156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198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92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168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242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308</v>
      </c>
    </row>
    <row r="27" ht="30.75">
      <c r="A27" s="51" t="s">
        <v>174</v>
      </c>
    </row>
    <row r="28" ht="14.25">
      <c r="A28" s="58" t="s">
        <v>371</v>
      </c>
    </row>
    <row r="29" ht="30.75">
      <c r="A29" s="51" t="s">
        <v>91</v>
      </c>
    </row>
    <row r="30" ht="14.25">
      <c r="A30" s="59" t="s">
        <v>372</v>
      </c>
    </row>
    <row r="31" ht="30.75">
      <c r="A31" s="51" t="s">
        <v>92</v>
      </c>
    </row>
    <row r="32" ht="14.25">
      <c r="A32" s="59" t="s">
        <v>373</v>
      </c>
    </row>
    <row r="33" ht="14.25">
      <c r="A33" s="59" t="s">
        <v>374</v>
      </c>
    </row>
    <row r="34" ht="30.75">
      <c r="A34" s="51" t="s">
        <v>155</v>
      </c>
    </row>
    <row r="35" ht="14.25">
      <c r="A35" s="58" t="s">
        <v>375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205</v>
      </c>
      <c r="B1" s="10">
        <v>41758</v>
      </c>
      <c r="C1" s="10"/>
      <c r="D1" s="11" t="s">
        <v>206</v>
      </c>
      <c r="E1" s="12">
        <v>48.13</v>
      </c>
      <c r="G1" s="8" t="s">
        <v>207</v>
      </c>
    </row>
    <row r="2" spans="1:2" s="8" customFormat="1" ht="23.25" customHeight="1">
      <c r="A2" s="33" t="s">
        <v>376</v>
      </c>
      <c r="B2" s="87"/>
    </row>
    <row r="3" spans="1:7" s="15" customFormat="1" ht="57.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91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155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103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174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92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377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95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378</v>
      </c>
    </row>
    <row r="13" spans="1:8" s="8" customFormat="1" ht="14.25">
      <c r="A13" s="4" t="s">
        <v>182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379</v>
      </c>
    </row>
    <row r="14" spans="1:7" s="8" customFormat="1" ht="14.25">
      <c r="A14" s="7" t="s">
        <v>242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308</v>
      </c>
    </row>
    <row r="19" ht="30.75">
      <c r="A19" s="51" t="s">
        <v>8</v>
      </c>
    </row>
    <row r="20" ht="14.25">
      <c r="A20" s="58" t="s">
        <v>380</v>
      </c>
    </row>
    <row r="21" ht="14.25">
      <c r="A21" s="58" t="s">
        <v>381</v>
      </c>
    </row>
    <row r="22" ht="30.75">
      <c r="A22" s="51" t="s">
        <v>155</v>
      </c>
    </row>
    <row r="23" spans="1:2" ht="14.25">
      <c r="A23" s="58" t="s">
        <v>382</v>
      </c>
      <c r="B23" t="s">
        <v>383</v>
      </c>
    </row>
    <row r="24" ht="30.75">
      <c r="A24" s="51" t="s">
        <v>384</v>
      </c>
    </row>
    <row r="25" ht="14.25">
      <c r="A25" s="58" t="s">
        <v>385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205</v>
      </c>
      <c r="B1" s="10">
        <v>41804</v>
      </c>
      <c r="C1" s="10"/>
      <c r="D1" s="11" t="s">
        <v>206</v>
      </c>
      <c r="E1" s="12">
        <v>47.41</v>
      </c>
      <c r="G1" s="8" t="s">
        <v>207</v>
      </c>
    </row>
    <row r="2" spans="1:2" s="8" customFormat="1" ht="23.25" customHeight="1">
      <c r="A2" s="33" t="s">
        <v>386</v>
      </c>
      <c r="B2" s="87"/>
    </row>
    <row r="3" spans="1:7" s="15" customFormat="1" ht="57.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193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136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101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387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115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388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118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242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308</v>
      </c>
    </row>
    <row r="18" ht="30.75">
      <c r="A18" s="51" t="s">
        <v>8</v>
      </c>
    </row>
    <row r="19" ht="14.25">
      <c r="A19" s="58" t="s">
        <v>381</v>
      </c>
    </row>
    <row r="20" ht="30.75">
      <c r="A20" s="92" t="s">
        <v>101</v>
      </c>
    </row>
    <row r="21" ht="14.25">
      <c r="A21" s="58" t="s">
        <v>389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41813</v>
      </c>
      <c r="C1" s="10"/>
      <c r="D1" s="11" t="s">
        <v>206</v>
      </c>
      <c r="E1" s="12">
        <v>47</v>
      </c>
      <c r="G1" s="8" t="s">
        <v>207</v>
      </c>
    </row>
    <row r="2" spans="1:2" s="8" customFormat="1" ht="23.25" customHeight="1">
      <c r="A2" s="33" t="s">
        <v>390</v>
      </c>
      <c r="B2" s="87"/>
    </row>
    <row r="3" spans="1:7" s="15" customFormat="1" ht="57.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115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110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184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174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99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201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165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133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391</v>
      </c>
    </row>
    <row r="12" spans="1:8" s="8" customFormat="1" ht="14.25">
      <c r="A12" s="7" t="s">
        <v>97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200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173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190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224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308</v>
      </c>
    </row>
    <row r="22" ht="30.75">
      <c r="A22" s="92" t="s">
        <v>99</v>
      </c>
    </row>
    <row r="23" ht="14.25">
      <c r="A23" s="58" t="s">
        <v>392</v>
      </c>
    </row>
    <row r="24" ht="30.75">
      <c r="A24" s="92" t="s">
        <v>97</v>
      </c>
    </row>
    <row r="25" ht="14.25">
      <c r="A25" s="58" t="s">
        <v>393</v>
      </c>
    </row>
    <row r="26" ht="30.75">
      <c r="A26" s="92" t="s">
        <v>200</v>
      </c>
    </row>
    <row r="27" ht="14.25">
      <c r="A27" s="58" t="s">
        <v>394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41831</v>
      </c>
      <c r="C1" s="10"/>
      <c r="D1" s="11" t="s">
        <v>206</v>
      </c>
      <c r="E1" s="12">
        <v>47.19</v>
      </c>
      <c r="G1" s="8" t="s">
        <v>207</v>
      </c>
    </row>
    <row r="2" spans="1:2" s="8" customFormat="1" ht="23.25" customHeight="1">
      <c r="A2" s="33" t="s">
        <v>395</v>
      </c>
      <c r="B2" s="87"/>
    </row>
    <row r="3" spans="1:7" s="15" customFormat="1" ht="57.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91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148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188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115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396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98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224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308</v>
      </c>
    </row>
    <row r="17" ht="30.75">
      <c r="A17" s="51" t="s">
        <v>188</v>
      </c>
    </row>
    <row r="18" ht="14.25">
      <c r="A18" t="s">
        <v>397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41232</v>
      </c>
      <c r="C1" s="10"/>
      <c r="D1" s="11" t="s">
        <v>206</v>
      </c>
      <c r="E1" s="12">
        <f>40.86</f>
        <v>40.86</v>
      </c>
      <c r="F1" s="8" t="s">
        <v>207</v>
      </c>
    </row>
    <row r="2" ht="23.25" customHeight="1">
      <c r="A2" s="33" t="s">
        <v>226</v>
      </c>
    </row>
    <row r="3" spans="1:9" s="15" customFormat="1" ht="43.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4.25">
      <c r="A4" s="4" t="s">
        <v>143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227</v>
      </c>
    </row>
    <row r="7" spans="1:10" ht="14.25">
      <c r="A7" s="4" t="s">
        <v>174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228</v>
      </c>
    </row>
    <row r="8" spans="1:9" ht="14.25">
      <c r="A8" s="4" t="s">
        <v>176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229</v>
      </c>
    </row>
    <row r="10" spans="1:9" ht="14.25">
      <c r="A10" s="4" t="s">
        <v>163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146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224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205</v>
      </c>
      <c r="B1" s="10">
        <v>41844</v>
      </c>
      <c r="C1" s="10"/>
      <c r="D1" s="11" t="s">
        <v>206</v>
      </c>
      <c r="E1" s="12">
        <v>48.07</v>
      </c>
      <c r="G1" s="8" t="s">
        <v>207</v>
      </c>
    </row>
    <row r="2" spans="1:2" s="8" customFormat="1" ht="23.25" customHeight="1">
      <c r="A2" s="33" t="s">
        <v>398</v>
      </c>
      <c r="B2" s="87"/>
    </row>
    <row r="3" spans="1:7" s="15" customFormat="1" ht="57.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115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152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95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399</v>
      </c>
    </row>
    <row r="8" spans="1:8" s="8" customFormat="1" ht="14.25">
      <c r="A8" s="4" t="s">
        <v>173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118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168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178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330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224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205</v>
      </c>
      <c r="B1" s="10">
        <v>41863</v>
      </c>
      <c r="C1" s="10"/>
      <c r="D1" s="11" t="s">
        <v>206</v>
      </c>
      <c r="E1" s="12">
        <v>49.24</v>
      </c>
      <c r="G1" s="8" t="s">
        <v>207</v>
      </c>
    </row>
    <row r="2" spans="1:2" s="8" customFormat="1" ht="23.25" customHeight="1">
      <c r="A2" s="33" t="s">
        <v>400</v>
      </c>
      <c r="B2" s="87"/>
    </row>
    <row r="3" spans="1:7" s="15" customFormat="1" ht="57.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198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97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115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95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124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224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401</v>
      </c>
    </row>
    <row r="16" ht="30.75">
      <c r="A16" s="50" t="s">
        <v>315</v>
      </c>
    </row>
    <row r="17" ht="33.75" customHeight="1">
      <c r="A17" s="89" t="s">
        <v>308</v>
      </c>
    </row>
    <row r="18" ht="30.75">
      <c r="A18" s="51" t="s">
        <v>198</v>
      </c>
    </row>
    <row r="19" ht="14.25">
      <c r="A19" s="58" t="s">
        <v>402</v>
      </c>
    </row>
    <row r="20" ht="30.75">
      <c r="A20" s="51" t="s">
        <v>124</v>
      </c>
    </row>
    <row r="21" ht="14.25">
      <c r="A21" s="58" t="s">
        <v>403</v>
      </c>
    </row>
    <row r="22" ht="14.25">
      <c r="A22" s="58" t="s">
        <v>404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205</v>
      </c>
      <c r="B1" s="10">
        <v>41891</v>
      </c>
      <c r="C1" s="10"/>
      <c r="D1" s="11" t="s">
        <v>206</v>
      </c>
      <c r="E1" s="12">
        <v>48.99</v>
      </c>
      <c r="G1" s="8" t="s">
        <v>207</v>
      </c>
    </row>
    <row r="2" spans="1:2" s="8" customFormat="1" ht="23.25" customHeight="1">
      <c r="A2" s="33" t="s">
        <v>405</v>
      </c>
      <c r="B2" s="87"/>
    </row>
    <row r="3" spans="1:7" s="15" customFormat="1" ht="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173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406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91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190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407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95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145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408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201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127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140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96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409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354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224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205</v>
      </c>
      <c r="B1" s="10">
        <v>41902</v>
      </c>
      <c r="C1" s="10"/>
      <c r="D1" s="11" t="s">
        <v>206</v>
      </c>
      <c r="E1" s="12">
        <v>50.52</v>
      </c>
      <c r="G1" s="8" t="s">
        <v>207</v>
      </c>
    </row>
    <row r="2" spans="1:2" s="8" customFormat="1" ht="23.25" customHeight="1">
      <c r="A2" s="33" t="s">
        <v>412</v>
      </c>
      <c r="B2" s="87"/>
    </row>
    <row r="3" spans="1:7" s="15" customFormat="1" ht="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118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413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414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415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416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95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424</v>
      </c>
    </row>
    <row r="12" spans="1:7" s="8" customFormat="1" ht="15">
      <c r="A12" s="4" t="s">
        <v>155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417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109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418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224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205</v>
      </c>
      <c r="B1" s="10">
        <v>41919</v>
      </c>
      <c r="C1" s="10"/>
      <c r="D1" s="11" t="s">
        <v>206</v>
      </c>
      <c r="E1" s="12">
        <v>51.85</v>
      </c>
      <c r="G1" s="8" t="s">
        <v>207</v>
      </c>
    </row>
    <row r="2" spans="1:2" s="8" customFormat="1" ht="23.25" customHeight="1">
      <c r="A2" s="33" t="s">
        <v>419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109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420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421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422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423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418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224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205</v>
      </c>
      <c r="B1" s="10">
        <v>41932</v>
      </c>
      <c r="C1" s="10"/>
      <c r="D1" s="11" t="s">
        <v>206</v>
      </c>
      <c r="E1" s="12">
        <v>53.52</v>
      </c>
      <c r="G1" s="8" t="s">
        <v>207</v>
      </c>
    </row>
    <row r="2" spans="1:2" s="8" customFormat="1" ht="23.25" customHeight="1">
      <c r="A2" s="33" t="s">
        <v>425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430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124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109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112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155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431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426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409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127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499</v>
      </c>
    </row>
    <row r="13" spans="1:8" s="8" customFormat="1" ht="14.25">
      <c r="A13" s="4" t="s">
        <v>427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418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428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429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224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432</v>
      </c>
    </row>
    <row r="23" ht="30.75">
      <c r="A23" s="99" t="s">
        <v>124</v>
      </c>
    </row>
    <row r="24" ht="14.25">
      <c r="A24" s="101" t="s">
        <v>434</v>
      </c>
    </row>
    <row r="25" ht="30.75">
      <c r="A25" s="99" t="s">
        <v>431</v>
      </c>
    </row>
    <row r="26" ht="14.25">
      <c r="A26" s="100" t="s">
        <v>433</v>
      </c>
    </row>
    <row r="27" ht="30.75">
      <c r="A27" s="99" t="s">
        <v>426</v>
      </c>
    </row>
    <row r="28" ht="14.25">
      <c r="A28" s="101" t="s">
        <v>435</v>
      </c>
    </row>
    <row r="29" ht="14.25">
      <c r="A29" s="101" t="s">
        <v>436</v>
      </c>
    </row>
    <row r="30" ht="30.75">
      <c r="A30" s="99" t="s">
        <v>418</v>
      </c>
    </row>
    <row r="31" ht="14.25">
      <c r="A31" s="100" t="s">
        <v>437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205</v>
      </c>
      <c r="B1" s="10">
        <v>41943</v>
      </c>
      <c r="C1" s="10"/>
      <c r="D1" s="11" t="s">
        <v>206</v>
      </c>
      <c r="E1" s="12">
        <v>53.86</v>
      </c>
      <c r="G1" s="8" t="s">
        <v>207</v>
      </c>
    </row>
    <row r="2" spans="1:2" s="8" customFormat="1" ht="23.25" customHeight="1">
      <c r="A2" s="33" t="s">
        <v>440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8" s="8" customFormat="1" ht="14.25">
      <c r="A4" s="4" t="s">
        <v>103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451</v>
      </c>
    </row>
    <row r="5" spans="1:7" s="8" customFormat="1" ht="14.25">
      <c r="A5" s="4" t="s">
        <v>115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441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178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125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429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173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354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442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97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224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205</v>
      </c>
      <c r="B1" s="10">
        <v>41950</v>
      </c>
      <c r="C1" s="10"/>
      <c r="D1" s="11" t="s">
        <v>206</v>
      </c>
      <c r="E1" s="12">
        <v>60.73</v>
      </c>
      <c r="G1" s="8" t="s">
        <v>207</v>
      </c>
    </row>
    <row r="2" spans="1:2" s="8" customFormat="1" ht="23.25" customHeight="1">
      <c r="A2" s="33" t="s">
        <v>445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118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446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414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115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95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447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448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418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224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449</v>
      </c>
    </row>
    <row r="19" ht="30.75">
      <c r="A19" s="99" t="s">
        <v>448</v>
      </c>
    </row>
    <row r="20" ht="14.25">
      <c r="A20" s="100" t="s">
        <v>450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205</v>
      </c>
      <c r="B1" s="10">
        <v>41963</v>
      </c>
      <c r="C1" s="10"/>
      <c r="D1" s="11" t="s">
        <v>206</v>
      </c>
      <c r="E1" s="12">
        <v>58.57</v>
      </c>
      <c r="G1" s="8" t="s">
        <v>207</v>
      </c>
    </row>
    <row r="2" spans="1:2" s="8" customFormat="1" ht="23.25" customHeight="1">
      <c r="A2" s="33" t="s">
        <v>452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8" s="8" customFormat="1" ht="14.25">
      <c r="A4" s="4" t="s">
        <v>155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470</v>
      </c>
    </row>
    <row r="5" spans="1:7" s="8" customFormat="1" ht="14.25">
      <c r="A5" s="4" t="s">
        <v>453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140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454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459</v>
      </c>
    </row>
    <row r="8" spans="1:8" s="8" customFormat="1" ht="14.25">
      <c r="A8" s="4" t="s">
        <v>455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254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458</v>
      </c>
    </row>
    <row r="10" spans="1:7" s="8" customFormat="1" ht="14.25">
      <c r="A10" s="4" t="s">
        <v>409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331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469</v>
      </c>
    </row>
    <row r="12" spans="1:8" s="8" customFormat="1" ht="14.25">
      <c r="A12" s="4" t="s">
        <v>418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224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449</v>
      </c>
    </row>
    <row r="17" ht="30.75">
      <c r="A17" s="99" t="s">
        <v>418</v>
      </c>
    </row>
    <row r="18" ht="14.25">
      <c r="A18" s="100" t="s">
        <v>456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205</v>
      </c>
      <c r="B1" s="10">
        <v>41978</v>
      </c>
      <c r="C1" s="10"/>
      <c r="D1" s="11" t="s">
        <v>206</v>
      </c>
      <c r="E1" s="12">
        <v>67.29</v>
      </c>
      <c r="G1" s="8" t="s">
        <v>207</v>
      </c>
    </row>
    <row r="2" spans="1:2" s="8" customFormat="1" ht="23.25" customHeight="1">
      <c r="A2" s="33" t="s">
        <v>460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463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173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407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464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175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484</v>
      </c>
    </row>
    <row r="10" spans="1:7" s="8" customFormat="1" ht="14.25">
      <c r="A10" s="103" t="s">
        <v>465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418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485</v>
      </c>
    </row>
    <row r="12" spans="1:8" s="8" customFormat="1" ht="14.25">
      <c r="A12" s="4" t="s">
        <v>91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414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318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466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224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449</v>
      </c>
    </row>
    <row r="20" spans="1:2" ht="30.75">
      <c r="A20" s="99" t="s">
        <v>461</v>
      </c>
      <c r="B20" s="105"/>
    </row>
    <row r="21" ht="14.25">
      <c r="A21" s="100" t="s">
        <v>462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205</v>
      </c>
      <c r="B1" s="10">
        <v>41248</v>
      </c>
      <c r="C1" s="10"/>
      <c r="D1" s="11" t="s">
        <v>206</v>
      </c>
      <c r="E1" s="12">
        <v>40.862</v>
      </c>
      <c r="F1" s="8" t="s">
        <v>207</v>
      </c>
    </row>
    <row r="2" s="8" customFormat="1" ht="23.25" customHeight="1">
      <c r="A2" s="33" t="s">
        <v>230</v>
      </c>
    </row>
    <row r="3" spans="1:9" s="15" customFormat="1" ht="43.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4.25">
      <c r="A4" s="4" t="s">
        <v>224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174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231</v>
      </c>
    </row>
    <row r="6" spans="1:10" s="8" customFormat="1" ht="14.25">
      <c r="A6" s="4" t="s">
        <v>176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117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143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188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205</v>
      </c>
      <c r="B1" s="10">
        <v>41999</v>
      </c>
      <c r="C1" s="10"/>
      <c r="D1" s="11" t="s">
        <v>206</v>
      </c>
      <c r="E1" s="12">
        <v>70.45</v>
      </c>
      <c r="G1" s="8" t="s">
        <v>207</v>
      </c>
    </row>
    <row r="2" spans="1:2" s="8" customFormat="1" ht="23.25" customHeight="1">
      <c r="A2" s="33" t="s">
        <v>471</v>
      </c>
      <c r="B2" s="87"/>
    </row>
    <row r="3" spans="1:7" s="15" customFormat="1" ht="49.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155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473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250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474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498</v>
      </c>
    </row>
    <row r="8" spans="1:8" s="8" customFormat="1" ht="14.25">
      <c r="A8" s="4" t="s">
        <v>475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97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224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449</v>
      </c>
    </row>
    <row r="15" spans="1:4" ht="30.75">
      <c r="A15" s="99" t="s">
        <v>155</v>
      </c>
      <c r="B15" s="105"/>
      <c r="C15" s="105"/>
      <c r="D15" s="105"/>
    </row>
    <row r="16" ht="14.25">
      <c r="A16" s="100" t="s">
        <v>472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42013</v>
      </c>
      <c r="C1" s="10"/>
      <c r="D1" s="11" t="s">
        <v>206</v>
      </c>
      <c r="E1" s="12">
        <v>70.45</v>
      </c>
      <c r="G1" s="8" t="s">
        <v>207</v>
      </c>
    </row>
    <row r="2" spans="1:2" s="8" customFormat="1" ht="23.25" customHeight="1">
      <c r="A2" s="33" t="s">
        <v>482</v>
      </c>
      <c r="B2" s="87"/>
    </row>
    <row r="3" spans="1:7" s="15" customFormat="1" ht="49.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4.25">
      <c r="A4" s="4" t="s">
        <v>477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115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478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200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145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479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480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354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224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449</v>
      </c>
    </row>
    <row r="17" spans="1:4" ht="30.75">
      <c r="A17" s="99" t="s">
        <v>477</v>
      </c>
      <c r="B17" s="105"/>
      <c r="C17" s="105"/>
      <c r="D17" s="105"/>
    </row>
    <row r="18" ht="14.25">
      <c r="A18" s="100" t="s">
        <v>481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205</v>
      </c>
      <c r="B1" s="10">
        <v>42027</v>
      </c>
      <c r="C1" s="10"/>
      <c r="D1" s="10"/>
      <c r="E1" s="11" t="s">
        <v>206</v>
      </c>
      <c r="F1" s="106">
        <v>78.47</v>
      </c>
      <c r="G1" s="8" t="s">
        <v>207</v>
      </c>
    </row>
    <row r="2" s="8" customFormat="1" ht="23.25" customHeight="1">
      <c r="A2" s="33" t="s">
        <v>487</v>
      </c>
    </row>
    <row r="3" spans="1:8" s="15" customFormat="1" ht="57.75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9" s="8" customFormat="1" ht="14.25">
      <c r="A4" s="4" t="s">
        <v>414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506</v>
      </c>
    </row>
    <row r="5" spans="1:8" s="8" customFormat="1" ht="14.25">
      <c r="A5" s="3" t="s">
        <v>453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489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490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491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492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493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494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421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495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496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418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224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486</v>
      </c>
    </row>
    <row r="20" ht="30.75">
      <c r="A20" s="99" t="s">
        <v>418</v>
      </c>
    </row>
    <row r="21" ht="14.25">
      <c r="A21" s="100" t="s">
        <v>456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205</v>
      </c>
      <c r="B1" s="10">
        <v>42033</v>
      </c>
      <c r="C1" s="10"/>
      <c r="D1" s="10"/>
      <c r="E1" s="11" t="s">
        <v>206</v>
      </c>
      <c r="F1" s="106">
        <v>78.94</v>
      </c>
      <c r="G1" s="8" t="s">
        <v>207</v>
      </c>
    </row>
    <row r="2" s="8" customFormat="1" ht="23.25" customHeight="1">
      <c r="A2" s="33" t="s">
        <v>500</v>
      </c>
    </row>
    <row r="3" spans="1:8" s="15" customFormat="1" ht="57.75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4.25">
      <c r="A4" s="4" t="s">
        <v>418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173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503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115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501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494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504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181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224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486</v>
      </c>
    </row>
    <row r="19" ht="30.75">
      <c r="A19" s="99" t="s">
        <v>501</v>
      </c>
    </row>
    <row r="20" ht="14.25">
      <c r="A20" s="110" t="s">
        <v>502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205</v>
      </c>
      <c r="B1" s="10">
        <v>42041</v>
      </c>
      <c r="C1" s="10"/>
      <c r="D1" s="10"/>
      <c r="E1" s="11" t="s">
        <v>206</v>
      </c>
      <c r="F1" s="106">
        <v>77.27</v>
      </c>
      <c r="G1" s="8" t="s">
        <v>207</v>
      </c>
    </row>
    <row r="2" s="8" customFormat="1" ht="23.25" customHeight="1">
      <c r="A2" s="33" t="s">
        <v>507</v>
      </c>
    </row>
    <row r="3" spans="1:8" s="15" customFormat="1" ht="57.75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4.25">
      <c r="A4" s="3" t="s">
        <v>95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508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509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510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511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155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512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495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513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514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418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518</v>
      </c>
    </row>
    <row r="15" spans="1:8" s="8" customFormat="1" ht="14.25">
      <c r="A15" s="4" t="s">
        <v>515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224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486</v>
      </c>
    </row>
    <row r="20" ht="30.75">
      <c r="A20" s="99" t="s">
        <v>418</v>
      </c>
    </row>
    <row r="21" ht="14.25">
      <c r="A21" s="100" t="s">
        <v>516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205</v>
      </c>
      <c r="B1" s="10">
        <v>42050</v>
      </c>
      <c r="C1" s="10"/>
      <c r="D1" s="10"/>
      <c r="E1" s="11" t="s">
        <v>206</v>
      </c>
      <c r="F1" s="106">
        <v>73.23</v>
      </c>
      <c r="G1" s="8" t="s">
        <v>207</v>
      </c>
    </row>
    <row r="2" s="8" customFormat="1" ht="23.25" customHeight="1">
      <c r="A2" s="33"/>
    </row>
    <row r="3" spans="1:8" s="15" customFormat="1" ht="57.75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519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520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512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521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418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494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224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42061</v>
      </c>
      <c r="C1" s="10"/>
      <c r="D1" s="10"/>
      <c r="E1" s="10"/>
      <c r="F1" s="11" t="s">
        <v>206</v>
      </c>
      <c r="G1" s="106">
        <v>72.44</v>
      </c>
      <c r="H1" s="8" t="s">
        <v>207</v>
      </c>
    </row>
    <row r="2" s="8" customFormat="1" ht="23.25" customHeight="1"/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4.25">
      <c r="A4" s="3" t="s">
        <v>127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523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525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526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508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190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527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528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529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530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531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155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453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512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224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486</v>
      </c>
    </row>
    <row r="23" spans="1:2" ht="30.75">
      <c r="A23" s="114" t="s">
        <v>523</v>
      </c>
      <c r="B23" s="105"/>
    </row>
    <row r="24" ht="14.25">
      <c r="A24" s="100" t="s">
        <v>524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42069</v>
      </c>
      <c r="C1" s="10"/>
      <c r="D1" s="10"/>
      <c r="E1" s="10"/>
      <c r="F1" s="11" t="s">
        <v>206</v>
      </c>
      <c r="G1" s="106">
        <v>67.83</v>
      </c>
      <c r="H1" s="8" t="s">
        <v>207</v>
      </c>
    </row>
    <row r="2" s="8" customFormat="1" ht="23.25" customHeight="1">
      <c r="A2" s="33" t="s">
        <v>532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4.25">
      <c r="A4" s="3" t="s">
        <v>536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418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537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538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539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531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540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534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384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430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174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224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486</v>
      </c>
    </row>
    <row r="20" spans="1:2" ht="30.75">
      <c r="A20" s="117" t="s">
        <v>8</v>
      </c>
      <c r="B20" s="105"/>
    </row>
    <row r="21" ht="14.25">
      <c r="A21" s="100" t="s">
        <v>533</v>
      </c>
    </row>
    <row r="22" spans="1:2" ht="30.75">
      <c r="A22" s="117" t="s">
        <v>534</v>
      </c>
      <c r="B22" s="105"/>
    </row>
    <row r="23" ht="14.25">
      <c r="A23" s="100" t="s">
        <v>535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42083</v>
      </c>
      <c r="C1" s="10"/>
      <c r="D1" s="10"/>
      <c r="E1" s="10"/>
      <c r="F1" s="11" t="s">
        <v>206</v>
      </c>
      <c r="G1" s="106">
        <v>66.11</v>
      </c>
      <c r="H1" s="8" t="s">
        <v>207</v>
      </c>
    </row>
    <row r="2" s="8" customFormat="1" ht="23.25" customHeight="1">
      <c r="A2" s="33" t="s">
        <v>545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4.25">
      <c r="A4" s="3" t="s">
        <v>542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509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519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173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197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543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418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141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453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544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224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42091</v>
      </c>
      <c r="C1" s="10"/>
      <c r="D1" s="10"/>
      <c r="E1" s="10"/>
      <c r="F1" s="11" t="s">
        <v>206</v>
      </c>
      <c r="G1" s="106">
        <v>64.39</v>
      </c>
      <c r="H1" s="8" t="s">
        <v>207</v>
      </c>
    </row>
    <row r="2" s="8" customFormat="1" ht="23.25" customHeight="1">
      <c r="A2" s="33" t="s">
        <v>547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4.25">
      <c r="A4" s="3" t="s">
        <v>548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95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549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418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550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190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551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553</v>
      </c>
    </row>
    <row r="11" spans="1:9" s="8" customFormat="1" ht="14.25">
      <c r="A11" s="3" t="s">
        <v>552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224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205</v>
      </c>
      <c r="B1" s="10">
        <v>41248</v>
      </c>
      <c r="C1" s="10"/>
      <c r="D1" s="11" t="s">
        <v>206</v>
      </c>
      <c r="E1" s="12">
        <v>40.5</v>
      </c>
      <c r="F1" s="8" t="s">
        <v>207</v>
      </c>
    </row>
    <row r="2" s="8" customFormat="1" ht="23.25" customHeight="1">
      <c r="A2" s="33"/>
    </row>
    <row r="3" spans="1:9" s="15" customFormat="1" ht="43.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128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176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42098</v>
      </c>
      <c r="C1" s="10"/>
      <c r="D1" s="10"/>
      <c r="E1" s="10"/>
      <c r="F1" s="11" t="s">
        <v>206</v>
      </c>
      <c r="G1" s="106">
        <v>60.674</v>
      </c>
      <c r="H1" s="8" t="s">
        <v>207</v>
      </c>
    </row>
    <row r="2" s="8" customFormat="1" ht="23.25" customHeight="1">
      <c r="A2" s="33" t="s">
        <v>554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4.25">
      <c r="A4" s="3" t="s">
        <v>173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555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574</v>
      </c>
    </row>
    <row r="6" spans="1:9" s="8" customFormat="1" ht="14.25">
      <c r="A6" s="4" t="s">
        <v>414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556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575</v>
      </c>
    </row>
    <row r="8" spans="1:9" s="8" customFormat="1" ht="14.25">
      <c r="A8" s="4" t="s">
        <v>557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418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115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558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595</v>
      </c>
    </row>
    <row r="12" spans="1:9" s="8" customFormat="1" ht="14.25">
      <c r="A12" s="4" t="s">
        <v>559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560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224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42104</v>
      </c>
      <c r="C1" s="10"/>
      <c r="D1" s="10"/>
      <c r="E1" s="10"/>
      <c r="F1" s="11" t="s">
        <v>206</v>
      </c>
      <c r="G1" s="106">
        <v>56.585</v>
      </c>
      <c r="H1" s="8" t="s">
        <v>207</v>
      </c>
    </row>
    <row r="2" s="8" customFormat="1" ht="23.25" customHeight="1">
      <c r="A2" s="33" t="s">
        <v>561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4.25">
      <c r="A4" s="3" t="s">
        <v>495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118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523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384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568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565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418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168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569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570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127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571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572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224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562</v>
      </c>
    </row>
    <row r="22" ht="30.75">
      <c r="A22" s="117" t="s">
        <v>118</v>
      </c>
    </row>
    <row r="23" ht="14.25">
      <c r="A23" s="100" t="s">
        <v>563</v>
      </c>
    </row>
    <row r="24" ht="30.75">
      <c r="A24" s="117" t="s">
        <v>384</v>
      </c>
    </row>
    <row r="25" ht="14.25">
      <c r="A25" s="100" t="s">
        <v>564</v>
      </c>
    </row>
    <row r="26" ht="30.75">
      <c r="A26" s="117" t="s">
        <v>565</v>
      </c>
    </row>
    <row r="27" ht="14.25">
      <c r="A27" s="100" t="s">
        <v>566</v>
      </c>
    </row>
    <row r="28" ht="30.75">
      <c r="A28" s="117" t="s">
        <v>168</v>
      </c>
    </row>
    <row r="29" ht="14.25">
      <c r="A29" s="100" t="s">
        <v>567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42111</v>
      </c>
      <c r="C1" s="10"/>
      <c r="D1" s="10"/>
      <c r="E1" s="10"/>
      <c r="F1" s="11" t="s">
        <v>206</v>
      </c>
      <c r="G1" s="106">
        <v>59.89</v>
      </c>
      <c r="H1" s="8" t="s">
        <v>207</v>
      </c>
    </row>
    <row r="2" s="8" customFormat="1" ht="23.25" customHeight="1">
      <c r="A2" s="33"/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4.25">
      <c r="A4" s="3" t="s">
        <v>531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115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96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118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576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577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97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578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453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134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173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536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512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579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571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418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549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580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416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565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168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224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42119</v>
      </c>
      <c r="C1" s="10"/>
      <c r="D1" s="10"/>
      <c r="E1" s="10"/>
      <c r="F1" s="11" t="s">
        <v>206</v>
      </c>
      <c r="G1" s="106">
        <v>58.583</v>
      </c>
      <c r="H1" s="8" t="s">
        <v>207</v>
      </c>
    </row>
    <row r="2" s="8" customFormat="1" ht="23.25" customHeight="1">
      <c r="A2" s="33"/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4.25">
      <c r="A4" s="3" t="s">
        <v>115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416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584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606</v>
      </c>
    </row>
    <row r="8" spans="1:9" s="8" customFormat="1" ht="14.25">
      <c r="A8" s="4" t="s">
        <v>585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586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587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588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91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589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224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590</v>
      </c>
    </row>
    <row r="18" ht="14.25">
      <c r="A18" s="121" t="s">
        <v>589</v>
      </c>
    </row>
    <row r="19" ht="14.25">
      <c r="A19" s="100" t="s">
        <v>591</v>
      </c>
    </row>
    <row r="20" ht="14.25">
      <c r="A20" s="100" t="s">
        <v>592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42126</v>
      </c>
      <c r="C1" s="10"/>
      <c r="D1" s="10"/>
      <c r="E1" s="10"/>
      <c r="F1" s="11" t="s">
        <v>206</v>
      </c>
      <c r="G1" s="106">
        <v>59.551</v>
      </c>
      <c r="H1" s="8" t="s">
        <v>207</v>
      </c>
    </row>
    <row r="2" s="8" customFormat="1" ht="23.25" customHeight="1">
      <c r="A2" s="33"/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4.25">
      <c r="A4" s="3" t="s">
        <v>589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596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622</v>
      </c>
    </row>
    <row r="6" spans="1:9" s="8" customFormat="1" ht="14.25">
      <c r="A6" s="4" t="s">
        <v>509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431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597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555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598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115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599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173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600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700</v>
      </c>
    </row>
    <row r="16" spans="1:9" s="8" customFormat="1" ht="14.25">
      <c r="A16" s="4" t="s">
        <v>601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224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42126</v>
      </c>
      <c r="C1" s="10"/>
      <c r="D1" s="10"/>
      <c r="E1" s="10"/>
      <c r="F1" s="11" t="s">
        <v>206</v>
      </c>
      <c r="G1" s="106">
        <v>58.433</v>
      </c>
      <c r="H1" s="8" t="s">
        <v>207</v>
      </c>
    </row>
    <row r="2" s="8" customFormat="1" ht="23.25" customHeight="1">
      <c r="A2" s="33"/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4.25">
      <c r="A4" s="3" t="s">
        <v>607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519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91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608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584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388</v>
      </c>
      <c r="B9" s="123" t="s">
        <v>628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640</v>
      </c>
    </row>
    <row r="10" spans="1:9" s="8" customFormat="1" ht="14.25">
      <c r="A10" s="4" t="s">
        <v>609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495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418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414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102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453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586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224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42141</v>
      </c>
      <c r="C1" s="10"/>
      <c r="D1" s="10"/>
      <c r="E1" s="10"/>
      <c r="F1" s="11" t="s">
        <v>206</v>
      </c>
      <c r="G1" s="106">
        <v>57.82</v>
      </c>
      <c r="H1" s="8" t="s">
        <v>207</v>
      </c>
    </row>
    <row r="2" s="8" customFormat="1" ht="23.25" customHeight="1">
      <c r="A2" s="33"/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4.25">
      <c r="A4" s="3" t="s">
        <v>614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586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128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615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616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641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617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618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115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619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134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224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42146</v>
      </c>
      <c r="C1" s="10"/>
      <c r="D1" s="10"/>
      <c r="E1" s="10"/>
      <c r="F1" s="11" t="s">
        <v>206</v>
      </c>
      <c r="G1" s="106">
        <v>57.46</v>
      </c>
      <c r="H1" s="8" t="s">
        <v>207</v>
      </c>
    </row>
    <row r="2" s="8" customFormat="1" ht="23.25" customHeight="1">
      <c r="A2" s="33"/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4.25">
      <c r="A4" s="3" t="s">
        <v>126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493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127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623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642</v>
      </c>
    </row>
    <row r="8" spans="1:9" s="8" customFormat="1" ht="14.25">
      <c r="A8" s="4" t="s">
        <v>115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495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627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418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624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625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224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205</v>
      </c>
      <c r="B1" s="10">
        <v>42156</v>
      </c>
      <c r="C1" s="10"/>
      <c r="D1" s="10"/>
      <c r="E1" s="10"/>
      <c r="F1" s="11" t="s">
        <v>206</v>
      </c>
      <c r="G1" s="106">
        <v>63.63</v>
      </c>
      <c r="H1" s="8" t="s">
        <v>207</v>
      </c>
    </row>
    <row r="2" s="8" customFormat="1" ht="23.25" customHeight="1">
      <c r="A2" s="33"/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4.25">
      <c r="A4" s="4" t="s">
        <v>354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126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649</v>
      </c>
    </row>
    <row r="6" spans="1:9" s="8" customFormat="1" ht="14.25">
      <c r="A6" s="3" t="s">
        <v>572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625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115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629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630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631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632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174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633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634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418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635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596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224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486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174</v>
      </c>
      <c r="B25" s="127" t="s">
        <v>636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630</v>
      </c>
      <c r="B26" s="127" t="s">
        <v>637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638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42166</v>
      </c>
      <c r="C1" s="10"/>
      <c r="D1" s="10"/>
      <c r="E1" s="10"/>
      <c r="F1" s="11" t="s">
        <v>206</v>
      </c>
      <c r="G1" s="106">
        <v>62.58</v>
      </c>
      <c r="H1" s="8" t="s">
        <v>207</v>
      </c>
    </row>
    <row r="2" s="8" customFormat="1" ht="23.25" customHeight="1">
      <c r="A2" s="33" t="s">
        <v>643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4.25">
      <c r="A4" s="4" t="s">
        <v>559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174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644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645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673</v>
      </c>
    </row>
    <row r="8" spans="1:9" s="8" customFormat="1" ht="14.25">
      <c r="A8" s="4" t="s">
        <v>127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418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646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102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619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647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664</v>
      </c>
    </row>
    <row r="14" spans="1:9" s="8" customFormat="1" ht="14.25">
      <c r="A14" s="122" t="s">
        <v>630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224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174</v>
      </c>
      <c r="B19" s="100" t="s">
        <v>636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205</v>
      </c>
      <c r="B1" s="10">
        <v>41252</v>
      </c>
      <c r="C1" s="10"/>
      <c r="D1" s="11" t="s">
        <v>206</v>
      </c>
      <c r="E1" s="12">
        <v>40.69</v>
      </c>
      <c r="F1" s="8" t="s">
        <v>207</v>
      </c>
    </row>
    <row r="2" s="8" customFormat="1" ht="23.25" customHeight="1">
      <c r="A2" s="33" t="s">
        <v>232</v>
      </c>
    </row>
    <row r="3" spans="1:9" s="15" customFormat="1" ht="43.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4.25">
      <c r="A4" s="4" t="s">
        <v>224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163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181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217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42173</v>
      </c>
      <c r="C1" s="10"/>
      <c r="D1" s="10"/>
      <c r="E1" s="10"/>
      <c r="F1" s="11" t="s">
        <v>206</v>
      </c>
      <c r="G1" s="106">
        <v>62.83</v>
      </c>
      <c r="H1" s="8" t="s">
        <v>207</v>
      </c>
    </row>
    <row r="2" s="8" customFormat="1" ht="23.25" customHeight="1">
      <c r="A2" s="33" t="s">
        <v>650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4.25">
      <c r="A4" s="4" t="s">
        <v>174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651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587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652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678</v>
      </c>
    </row>
    <row r="10" spans="1:9" s="8" customFormat="1" ht="14.25">
      <c r="A10" s="4" t="s">
        <v>118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224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587</v>
      </c>
      <c r="B15" s="110" t="s">
        <v>653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42181</v>
      </c>
      <c r="C1" s="10"/>
      <c r="D1" s="10"/>
      <c r="E1" s="10"/>
      <c r="F1" s="11" t="s">
        <v>206</v>
      </c>
      <c r="G1" s="106">
        <v>64.56</v>
      </c>
      <c r="H1" s="8" t="s">
        <v>207</v>
      </c>
    </row>
    <row r="2" s="8" customFormat="1" ht="23.25" customHeight="1">
      <c r="A2" s="33" t="s">
        <v>656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4.25">
      <c r="A4" s="103" t="s">
        <v>651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657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418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658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663</v>
      </c>
    </row>
    <row r="9" spans="1:9" s="15" customFormat="1" ht="14.25">
      <c r="A9" s="103" t="s">
        <v>659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517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115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525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193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127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224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525</v>
      </c>
      <c r="B19" s="110" t="s">
        <v>660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42188</v>
      </c>
      <c r="C1" s="10"/>
      <c r="D1" s="10"/>
      <c r="E1" s="10"/>
      <c r="F1" s="11" t="s">
        <v>206</v>
      </c>
      <c r="G1" s="106">
        <v>65.09</v>
      </c>
      <c r="H1" s="8" t="s">
        <v>207</v>
      </c>
    </row>
    <row r="2" s="8" customFormat="1" ht="23.25" customHeight="1">
      <c r="A2" s="33"/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4.25">
      <c r="A4" s="103" t="s">
        <v>665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666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667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155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668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283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679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669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136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127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587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224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655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668</v>
      </c>
      <c r="B20" s="110" t="s">
        <v>670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42194</v>
      </c>
      <c r="C1" s="10"/>
      <c r="D1" s="10"/>
      <c r="E1" s="10"/>
      <c r="F1" s="11" t="s">
        <v>206</v>
      </c>
      <c r="G1" s="106">
        <v>65.4</v>
      </c>
      <c r="H1" s="8" t="s">
        <v>207</v>
      </c>
    </row>
    <row r="2" s="8" customFormat="1" ht="23.25" customHeight="1">
      <c r="A2" s="33"/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4.25">
      <c r="A4" s="103" t="s">
        <v>525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494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674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418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478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675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430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224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42208</v>
      </c>
      <c r="C1" s="10"/>
      <c r="D1" s="10"/>
      <c r="E1" s="10"/>
      <c r="F1" s="11" t="s">
        <v>206</v>
      </c>
      <c r="G1" s="106">
        <v>65.42</v>
      </c>
      <c r="H1" s="8" t="s">
        <v>207</v>
      </c>
    </row>
    <row r="2" s="8" customFormat="1" ht="23.25" customHeight="1">
      <c r="A2" s="33" t="s">
        <v>680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57.75">
      <c r="A4" s="103" t="s">
        <v>423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689</v>
      </c>
    </row>
    <row r="5" spans="1:9" s="15" customFormat="1" ht="14.25">
      <c r="A5" s="103" t="s">
        <v>418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681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630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490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682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115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155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683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684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597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224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686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42221</v>
      </c>
      <c r="C1" s="10"/>
      <c r="D1" s="10"/>
      <c r="E1" s="10"/>
      <c r="F1" s="11" t="s">
        <v>206</v>
      </c>
      <c r="G1" s="106">
        <v>71.85</v>
      </c>
      <c r="H1" s="8" t="s">
        <v>207</v>
      </c>
    </row>
    <row r="2" s="8" customFormat="1" ht="23.25" customHeight="1">
      <c r="A2" s="33" t="s">
        <v>690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4.25">
      <c r="A4" s="103" t="s">
        <v>691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647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692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699</v>
      </c>
    </row>
    <row r="7" spans="1:9" s="8" customFormat="1" ht="14.25">
      <c r="A7" s="103" t="s">
        <v>693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548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694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695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696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224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42243</v>
      </c>
      <c r="C1" s="10"/>
      <c r="D1" s="10"/>
      <c r="E1" s="10"/>
      <c r="F1" s="11" t="s">
        <v>206</v>
      </c>
      <c r="G1" s="106">
        <v>75.45</v>
      </c>
      <c r="H1" s="8" t="s">
        <v>207</v>
      </c>
    </row>
    <row r="2" s="8" customFormat="1" ht="23.25" customHeight="1">
      <c r="A2" s="33" t="s">
        <v>701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43.5">
      <c r="A4" s="103" t="s">
        <v>702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902</v>
      </c>
    </row>
    <row r="5" spans="1:9" s="15" customFormat="1" ht="14.25">
      <c r="A5" s="103" t="s">
        <v>703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704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674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717</v>
      </c>
    </row>
    <row r="8" spans="1:10" s="8" customFormat="1" ht="14.25">
      <c r="A8" s="103" t="s">
        <v>705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224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486</v>
      </c>
    </row>
    <row r="13" spans="1:2" ht="30.75">
      <c r="A13" s="133" t="s">
        <v>702</v>
      </c>
      <c r="B13" s="134" t="s">
        <v>706</v>
      </c>
    </row>
    <row r="14" spans="1:2" ht="30.75">
      <c r="A14" s="133" t="s">
        <v>548</v>
      </c>
      <c r="B14" s="134" t="s">
        <v>707</v>
      </c>
    </row>
    <row r="15" spans="1:2" ht="30.75">
      <c r="A15" s="133" t="s">
        <v>418</v>
      </c>
      <c r="B15" s="135" t="s">
        <v>456</v>
      </c>
    </row>
    <row r="16" spans="1:2" ht="30.75">
      <c r="A16" s="133" t="s">
        <v>708</v>
      </c>
      <c r="B16" s="134" t="s">
        <v>709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42251</v>
      </c>
      <c r="C1" s="10"/>
      <c r="D1" s="10"/>
      <c r="E1" s="10"/>
      <c r="F1" s="11" t="s">
        <v>206</v>
      </c>
      <c r="G1" s="106">
        <v>78.83</v>
      </c>
      <c r="H1" s="8" t="s">
        <v>207</v>
      </c>
    </row>
    <row r="2" s="8" customFormat="1" ht="23.25" customHeight="1">
      <c r="A2" s="33" t="s">
        <v>712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4.25">
      <c r="A4" s="103" t="s">
        <v>418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548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109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713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714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145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127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693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556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453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560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224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711</v>
      </c>
    </row>
    <row r="19" ht="21">
      <c r="A19" s="130" t="s">
        <v>697</v>
      </c>
    </row>
    <row r="20" ht="45" customHeight="1">
      <c r="A20" s="130" t="s">
        <v>486</v>
      </c>
    </row>
    <row r="21" spans="1:2" ht="30.75">
      <c r="A21" s="133" t="s">
        <v>418</v>
      </c>
      <c r="B21" s="136" t="s">
        <v>516</v>
      </c>
    </row>
    <row r="22" spans="1:2" ht="30.75">
      <c r="A22" s="133" t="s">
        <v>708</v>
      </c>
      <c r="B22" s="134" t="s">
        <v>709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42258</v>
      </c>
      <c r="C1" s="10"/>
      <c r="D1" s="10"/>
      <c r="E1" s="10"/>
      <c r="F1" s="11" t="s">
        <v>206</v>
      </c>
      <c r="G1" s="106">
        <v>78.3</v>
      </c>
      <c r="H1" s="8" t="s">
        <v>207</v>
      </c>
    </row>
    <row r="2" s="8" customFormat="1" ht="23.25" customHeight="1">
      <c r="A2" s="33" t="s">
        <v>718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4.25">
      <c r="A4" s="103" t="s">
        <v>155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441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708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548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409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418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645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719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732</v>
      </c>
    </row>
    <row r="12" spans="1:10" s="8" customFormat="1" ht="14.25">
      <c r="A12" s="103" t="s">
        <v>453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224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42268</v>
      </c>
      <c r="C1" s="10"/>
      <c r="D1" s="10"/>
      <c r="E1" s="10"/>
      <c r="F1" s="11" t="s">
        <v>206</v>
      </c>
      <c r="G1" s="106">
        <v>76.47</v>
      </c>
      <c r="H1" s="8" t="s">
        <v>207</v>
      </c>
    </row>
    <row r="2" s="8" customFormat="1" ht="23.25" customHeight="1">
      <c r="A2" s="33" t="s">
        <v>721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4.25">
      <c r="A4" s="103" t="s">
        <v>722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529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479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723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173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102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145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224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205</v>
      </c>
      <c r="B1" s="10">
        <v>41285</v>
      </c>
      <c r="C1" s="10"/>
      <c r="D1" s="11" t="s">
        <v>206</v>
      </c>
      <c r="E1" s="12">
        <v>41.13</v>
      </c>
      <c r="F1" s="8" t="s">
        <v>207</v>
      </c>
    </row>
    <row r="2" s="8" customFormat="1" ht="23.25" customHeight="1">
      <c r="A2" s="33" t="s">
        <v>233</v>
      </c>
    </row>
    <row r="3" spans="1:9" s="15" customFormat="1" ht="57.7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4.25">
      <c r="A4" s="4" t="s">
        <v>224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96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234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201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42278</v>
      </c>
      <c r="C1" s="10"/>
      <c r="D1" s="10"/>
      <c r="E1" s="10"/>
      <c r="F1" s="11" t="s">
        <v>206</v>
      </c>
      <c r="G1" s="106">
        <v>76.51</v>
      </c>
      <c r="H1" s="8" t="s">
        <v>207</v>
      </c>
    </row>
    <row r="2" s="8" customFormat="1" ht="23.25" customHeight="1">
      <c r="A2" s="33" t="s">
        <v>726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4.25">
      <c r="A4" s="103" t="s">
        <v>589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517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453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576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95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601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510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569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729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727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224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42287</v>
      </c>
      <c r="C1" s="10"/>
      <c r="D1" s="10"/>
      <c r="E1" s="10"/>
      <c r="F1" s="11" t="s">
        <v>206</v>
      </c>
      <c r="G1" s="106">
        <v>72.7</v>
      </c>
      <c r="H1" s="8" t="s">
        <v>207</v>
      </c>
    </row>
    <row r="2" s="8" customFormat="1" ht="23.25" customHeight="1">
      <c r="A2" s="33" t="s">
        <v>730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4.25">
      <c r="A4" s="103" t="s">
        <v>517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565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479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384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416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646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731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418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619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453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126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115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127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625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224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42296</v>
      </c>
      <c r="C1" s="10"/>
      <c r="D1" s="10"/>
      <c r="E1" s="10"/>
      <c r="F1" s="11" t="s">
        <v>206</v>
      </c>
      <c r="G1" s="106">
        <v>73.13</v>
      </c>
      <c r="H1" s="8" t="s">
        <v>207</v>
      </c>
    </row>
    <row r="2" s="8" customFormat="1" ht="23.25" customHeight="1">
      <c r="A2" s="33" t="s">
        <v>733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4.25">
      <c r="A4" s="103" t="s">
        <v>544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734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735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727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736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416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115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418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584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737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738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479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140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739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224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42305</v>
      </c>
      <c r="C1" s="10"/>
      <c r="D1" s="10"/>
      <c r="E1" s="10"/>
      <c r="F1" s="11" t="s">
        <v>206</v>
      </c>
      <c r="G1" s="106">
        <v>73.07</v>
      </c>
      <c r="H1" s="8" t="s">
        <v>207</v>
      </c>
    </row>
    <row r="2" s="8" customFormat="1" ht="23.25" customHeight="1">
      <c r="A2" s="33" t="s">
        <v>741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4.25">
      <c r="A4" s="103" t="s">
        <v>742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572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565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753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115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569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743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744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683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607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738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751</v>
      </c>
    </row>
    <row r="15" spans="1:9" s="8" customFormat="1" ht="14.25">
      <c r="A15" s="104" t="s">
        <v>745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746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224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42317</v>
      </c>
      <c r="C1" s="10"/>
      <c r="D1" s="10"/>
      <c r="E1" s="10"/>
      <c r="F1" s="11" t="s">
        <v>206</v>
      </c>
      <c r="G1" s="106">
        <v>71.25</v>
      </c>
      <c r="H1" s="8" t="s">
        <v>207</v>
      </c>
    </row>
    <row r="2" s="8" customFormat="1" ht="23.25" customHeight="1">
      <c r="A2" s="33" t="s">
        <v>752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4.25">
      <c r="A4" s="103" t="s">
        <v>418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758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600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155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759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384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118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760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734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529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569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453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224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685</v>
      </c>
    </row>
    <row r="22" spans="1:3" ht="30.75">
      <c r="A22" s="133" t="s">
        <v>418</v>
      </c>
      <c r="B22" s="140"/>
      <c r="C22" s="139" t="s">
        <v>754</v>
      </c>
    </row>
    <row r="23" spans="1:3" ht="30.75">
      <c r="A23" s="117" t="s">
        <v>155</v>
      </c>
      <c r="B23" s="140"/>
      <c r="C23" s="138" t="s">
        <v>755</v>
      </c>
    </row>
    <row r="24" spans="1:3" ht="30.75">
      <c r="A24" s="117" t="s">
        <v>734</v>
      </c>
      <c r="B24" s="140"/>
      <c r="C24" s="138" t="s">
        <v>756</v>
      </c>
    </row>
    <row r="25" spans="1:3" ht="30.75">
      <c r="A25" s="117" t="s">
        <v>693</v>
      </c>
      <c r="B25" s="140"/>
      <c r="C25" s="138" t="s">
        <v>757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42325</v>
      </c>
      <c r="C1" s="10"/>
      <c r="D1" s="10"/>
      <c r="E1" s="10"/>
      <c r="F1" s="11" t="s">
        <v>206</v>
      </c>
      <c r="G1" s="106">
        <v>71.16</v>
      </c>
      <c r="H1" s="8" t="s">
        <v>207</v>
      </c>
    </row>
    <row r="2" s="8" customFormat="1" ht="23.25" customHeight="1">
      <c r="A2" s="33" t="s">
        <v>762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4.25">
      <c r="A4" s="103" t="s">
        <v>693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409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155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418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763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188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764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224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42332</v>
      </c>
      <c r="C1" s="10"/>
      <c r="D1" s="10"/>
      <c r="E1" s="10"/>
      <c r="F1" s="11" t="s">
        <v>206</v>
      </c>
      <c r="G1" s="106">
        <v>72.21</v>
      </c>
      <c r="H1" s="8" t="s">
        <v>207</v>
      </c>
    </row>
    <row r="2" s="8" customFormat="1" ht="23.25" customHeight="1">
      <c r="A2" s="33" t="s">
        <v>766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4.25">
      <c r="A4" s="103" t="s">
        <v>614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767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127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190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768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769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418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714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224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42341</v>
      </c>
      <c r="C1" s="10"/>
      <c r="D1" s="10"/>
      <c r="E1" s="10"/>
      <c r="F1" s="11" t="s">
        <v>206</v>
      </c>
      <c r="G1" s="106">
        <v>77.35</v>
      </c>
      <c r="H1" s="8" t="s">
        <v>207</v>
      </c>
    </row>
    <row r="2" s="8" customFormat="1" ht="23.25" customHeight="1">
      <c r="A2" s="33" t="s">
        <v>770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4.25">
      <c r="A4" s="103" t="s">
        <v>95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115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771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772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773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512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774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224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685</v>
      </c>
    </row>
    <row r="16" spans="1:2" ht="30.75">
      <c r="A16" s="117" t="s">
        <v>775</v>
      </c>
      <c r="B16" s="141" t="s">
        <v>776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42348</v>
      </c>
      <c r="C1" s="10"/>
      <c r="D1" s="10"/>
      <c r="E1" s="10"/>
      <c r="F1" s="11" t="s">
        <v>206</v>
      </c>
      <c r="G1" s="106">
        <v>78.22</v>
      </c>
      <c r="H1" s="8" t="s">
        <v>207</v>
      </c>
    </row>
    <row r="2" s="8" customFormat="1" ht="23.25" customHeight="1">
      <c r="A2" s="33" t="s">
        <v>777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4.25">
      <c r="A4" s="103" t="s">
        <v>416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769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779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174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704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780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569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781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224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778</v>
      </c>
    </row>
    <row r="17" ht="21">
      <c r="A17" s="130" t="s">
        <v>697</v>
      </c>
    </row>
    <row r="18" ht="18.75" customHeight="1">
      <c r="A18" s="130" t="s">
        <v>685</v>
      </c>
    </row>
    <row r="19" spans="1:2" ht="30.75">
      <c r="A19" s="117" t="s">
        <v>416</v>
      </c>
      <c r="B19" s="138" t="s">
        <v>782</v>
      </c>
    </row>
    <row r="20" spans="1:2" ht="30.75">
      <c r="A20" s="117" t="s">
        <v>779</v>
      </c>
      <c r="B20" s="138" t="s">
        <v>783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42362</v>
      </c>
      <c r="C1" s="10"/>
      <c r="D1" s="10"/>
      <c r="E1" s="10"/>
      <c r="F1" s="11" t="s">
        <v>206</v>
      </c>
      <c r="G1" s="106">
        <v>82.19</v>
      </c>
      <c r="H1" s="8" t="s">
        <v>207</v>
      </c>
    </row>
    <row r="2" s="8" customFormat="1" ht="23.25" customHeight="1">
      <c r="A2" s="33" t="s">
        <v>785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4.25">
      <c r="A4" s="103" t="s">
        <v>529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619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786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787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418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788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549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779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614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693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148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140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224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41292</v>
      </c>
      <c r="C1" s="10"/>
      <c r="D1" s="11" t="s">
        <v>206</v>
      </c>
      <c r="E1" s="12">
        <v>40.95</v>
      </c>
      <c r="G1" s="8" t="s">
        <v>207</v>
      </c>
    </row>
    <row r="2" s="8" customFormat="1" ht="23.25" customHeight="1">
      <c r="A2" s="33" t="s">
        <v>235</v>
      </c>
    </row>
    <row r="3" spans="1:9" s="15" customFormat="1" ht="57.7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4.25">
      <c r="A4" s="4" t="s">
        <v>224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201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236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181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176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237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205</v>
      </c>
      <c r="B1" s="10">
        <v>42380</v>
      </c>
      <c r="C1" s="10"/>
      <c r="D1" s="10"/>
      <c r="E1" s="10"/>
      <c r="F1" s="11" t="s">
        <v>206</v>
      </c>
      <c r="G1" s="106">
        <v>85.41</v>
      </c>
      <c r="H1" s="8" t="s">
        <v>207</v>
      </c>
    </row>
    <row r="2" s="8" customFormat="1" ht="23.25" customHeight="1">
      <c r="A2" s="33" t="s">
        <v>792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4.25">
      <c r="A4" s="103" t="s">
        <v>145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127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793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794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795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596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796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140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224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205</v>
      </c>
      <c r="B1" s="10">
        <v>42388</v>
      </c>
      <c r="C1" s="10"/>
      <c r="D1" s="10"/>
      <c r="E1" s="10"/>
      <c r="F1" s="11" t="s">
        <v>206</v>
      </c>
      <c r="G1" s="106">
        <v>94.053</v>
      </c>
      <c r="H1" s="8" t="s">
        <v>207</v>
      </c>
    </row>
    <row r="2" s="8" customFormat="1" ht="23.25" customHeight="1">
      <c r="A2" s="33" t="s">
        <v>798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4.25">
      <c r="A4" s="103" t="s">
        <v>418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803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804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330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126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805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652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616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806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799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512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807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224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685</v>
      </c>
    </row>
    <row r="21" ht="30.75">
      <c r="A21" s="117" t="s">
        <v>799</v>
      </c>
    </row>
    <row r="22" ht="14.25">
      <c r="A22" s="138" t="s">
        <v>800</v>
      </c>
    </row>
    <row r="23" ht="30.75">
      <c r="A23" s="117" t="s">
        <v>801</v>
      </c>
    </row>
    <row r="24" ht="14.25">
      <c r="A24" s="139" t="s">
        <v>802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205</v>
      </c>
      <c r="B1" s="10">
        <v>42397</v>
      </c>
      <c r="C1" s="10"/>
      <c r="D1" s="10"/>
      <c r="E1" s="10"/>
      <c r="F1" s="11" t="s">
        <v>206</v>
      </c>
      <c r="G1" s="106">
        <v>84.52</v>
      </c>
      <c r="H1" s="8" t="s">
        <v>207</v>
      </c>
    </row>
    <row r="2" s="8" customFormat="1" ht="23.25" customHeight="1">
      <c r="A2" s="33" t="s">
        <v>810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28.5">
      <c r="A4" s="103" t="s">
        <v>190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829</v>
      </c>
    </row>
    <row r="5" spans="1:10" s="15" customFormat="1" ht="28.5">
      <c r="A5" s="103" t="s">
        <v>811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830</v>
      </c>
    </row>
    <row r="6" spans="1:9" s="8" customFormat="1" ht="14.25">
      <c r="A6" s="104" t="s">
        <v>759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812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813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818</v>
      </c>
    </row>
    <row r="9" spans="1:9" s="8" customFormat="1" ht="14.25">
      <c r="A9" s="104" t="s">
        <v>614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814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416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819</v>
      </c>
    </row>
    <row r="12" spans="1:10" s="8" customFormat="1" ht="14.25">
      <c r="A12" s="104" t="s">
        <v>224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205</v>
      </c>
      <c r="B1" s="10">
        <v>42401</v>
      </c>
      <c r="C1" s="10"/>
      <c r="D1" s="10"/>
      <c r="E1" s="10"/>
      <c r="F1" s="11" t="s">
        <v>206</v>
      </c>
      <c r="G1" s="106">
        <v>88.89</v>
      </c>
      <c r="H1" s="8" t="s">
        <v>207</v>
      </c>
    </row>
    <row r="2" s="8" customFormat="1" ht="23.25" customHeight="1">
      <c r="A2" s="33" t="s">
        <v>815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4.25">
      <c r="A4" s="103" t="s">
        <v>816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614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744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814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418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224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205</v>
      </c>
      <c r="B1" s="10">
        <v>42416</v>
      </c>
      <c r="C1" s="10"/>
      <c r="D1" s="10"/>
      <c r="E1" s="10"/>
      <c r="F1" s="11" t="s">
        <v>206</v>
      </c>
      <c r="G1" s="106">
        <v>87.29</v>
      </c>
      <c r="H1" s="8" t="s">
        <v>207</v>
      </c>
    </row>
    <row r="2" s="8" customFormat="1" ht="14.25">
      <c r="A2" s="33" t="s">
        <v>820</v>
      </c>
    </row>
    <row r="3" spans="1:9" s="15" customFormat="1" ht="57.7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759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722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786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795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723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832</v>
      </c>
    </row>
    <row r="9" spans="1:10" s="15" customFormat="1" ht="28.5">
      <c r="A9" s="103" t="s">
        <v>693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863</v>
      </c>
    </row>
    <row r="10" spans="1:10" s="15" customFormat="1" ht="14.25">
      <c r="A10" s="103" t="s">
        <v>822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831</v>
      </c>
    </row>
    <row r="11" spans="1:9" s="8" customFormat="1" ht="14.25">
      <c r="A11" s="104" t="s">
        <v>645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769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127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746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823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224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821</v>
      </c>
    </row>
    <row r="22" ht="21">
      <c r="A22" s="130" t="s">
        <v>697</v>
      </c>
    </row>
    <row r="23" ht="21">
      <c r="A23" s="130" t="s">
        <v>486</v>
      </c>
    </row>
    <row r="24" spans="1:2" ht="30.75">
      <c r="A24" s="117" t="s">
        <v>693</v>
      </c>
      <c r="B24" s="138" t="s">
        <v>824</v>
      </c>
    </row>
    <row r="25" spans="1:2" ht="30.75">
      <c r="A25" s="117" t="s">
        <v>822</v>
      </c>
      <c r="B25" s="138" t="s">
        <v>825</v>
      </c>
    </row>
    <row r="26" spans="1:2" ht="30.75">
      <c r="A26" s="117" t="s">
        <v>769</v>
      </c>
      <c r="B26" s="138" t="s">
        <v>826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205</v>
      </c>
      <c r="B1" s="10">
        <v>42439</v>
      </c>
      <c r="C1" s="10"/>
      <c r="D1" s="10"/>
      <c r="E1" s="10"/>
      <c r="F1" s="11" t="s">
        <v>206</v>
      </c>
      <c r="G1" s="106">
        <v>80.82</v>
      </c>
      <c r="H1" s="8" t="s">
        <v>207</v>
      </c>
    </row>
    <row r="2" s="8" customFormat="1" ht="23.25" customHeight="1">
      <c r="A2" s="33" t="s">
        <v>833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836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568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839</v>
      </c>
    </row>
    <row r="6" spans="1:9" s="8" customFormat="1" ht="14.25">
      <c r="A6" s="104" t="s">
        <v>834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515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418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739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224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486</v>
      </c>
    </row>
    <row r="14" spans="1:2" ht="30.75">
      <c r="A14" s="117" t="s">
        <v>834</v>
      </c>
      <c r="B14" s="105"/>
    </row>
    <row r="15" ht="14.25">
      <c r="A15" s="141" t="s">
        <v>835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42457</v>
      </c>
      <c r="C1" s="10"/>
      <c r="D1" s="10"/>
      <c r="E1" s="10"/>
      <c r="F1" s="11" t="s">
        <v>206</v>
      </c>
      <c r="G1" s="106">
        <v>78.35</v>
      </c>
      <c r="H1" s="8" t="s">
        <v>207</v>
      </c>
    </row>
    <row r="2" s="8" customFormat="1" ht="23.25" customHeight="1">
      <c r="A2" s="33" t="s">
        <v>840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127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115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140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580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841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823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193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842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630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646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224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205</v>
      </c>
      <c r="B1" s="10">
        <v>42471</v>
      </c>
      <c r="C1" s="10"/>
      <c r="D1" s="10"/>
      <c r="E1" s="10"/>
      <c r="F1" s="11" t="s">
        <v>206</v>
      </c>
      <c r="G1" s="106">
        <v>77.66</v>
      </c>
      <c r="H1" s="8" t="s">
        <v>207</v>
      </c>
    </row>
    <row r="2" s="8" customFormat="1" ht="23.25" customHeight="1">
      <c r="A2" s="33" t="s">
        <v>846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10" s="15" customFormat="1" ht="28.5">
      <c r="A4" s="103" t="s">
        <v>384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864</v>
      </c>
    </row>
    <row r="5" spans="1:9" s="15" customFormat="1" ht="14.25">
      <c r="A5" s="103" t="s">
        <v>126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847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742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127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848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418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849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601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224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42481</v>
      </c>
      <c r="C1" s="10"/>
      <c r="D1" s="10"/>
      <c r="E1" s="10"/>
      <c r="F1" s="11" t="s">
        <v>206</v>
      </c>
      <c r="G1" s="106">
        <v>76.77</v>
      </c>
      <c r="H1" s="8" t="s">
        <v>207</v>
      </c>
    </row>
    <row r="2" s="8" customFormat="1" ht="23.25" customHeight="1">
      <c r="A2" s="33" t="s">
        <v>851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763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734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134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145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703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490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283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254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852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630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853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224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42489</v>
      </c>
      <c r="C1" s="10"/>
      <c r="D1" s="10"/>
      <c r="E1" s="10"/>
      <c r="F1" s="11" t="s">
        <v>206</v>
      </c>
      <c r="G1" s="106">
        <v>76.09</v>
      </c>
      <c r="H1" s="8" t="s">
        <v>207</v>
      </c>
    </row>
    <row r="2" s="8" customFormat="1" ht="23.25" customHeight="1">
      <c r="A2" s="33" t="s">
        <v>854</v>
      </c>
    </row>
    <row r="3" spans="1:9" s="15" customFormat="1" ht="43.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4.25">
      <c r="A4" s="103" t="s">
        <v>855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580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856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127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722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857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858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859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652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675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224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685</v>
      </c>
    </row>
    <row r="19" spans="1:2" ht="30.75">
      <c r="A19" s="117" t="s">
        <v>722</v>
      </c>
      <c r="B19" s="117"/>
    </row>
    <row r="20" ht="14.25">
      <c r="A20" s="141" t="s">
        <v>860</v>
      </c>
    </row>
    <row r="21" ht="14.25">
      <c r="A21" s="141" t="s">
        <v>861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2017-10-19T07:50:09Z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