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70" yWindow="-80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calcPr calcId="162913"/>
</workbook>
</file>

<file path=xl/calcChain.xml><?xml version="1.0" encoding="utf-8"?>
<calcChain xmlns="http://schemas.openxmlformats.org/spreadsheetml/2006/main">
  <c r="K78" i="18" l="1"/>
  <c r="K69" i="18"/>
  <c r="K60" i="18"/>
  <c r="K51" i="18"/>
  <c r="K48" i="18"/>
  <c r="K45" i="18"/>
  <c r="K42" i="18"/>
  <c r="K40" i="18"/>
  <c r="K38" i="18"/>
  <c r="K35" i="18"/>
  <c r="K33" i="18"/>
  <c r="K31" i="18"/>
  <c r="K29" i="18"/>
  <c r="K27" i="18"/>
  <c r="K24" i="18"/>
  <c r="K22" i="18"/>
  <c r="K20" i="18"/>
  <c r="K18" i="18"/>
  <c r="K16" i="18"/>
  <c r="K14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D70" i="18"/>
  <c r="E80" i="18"/>
  <c r="D7" i="18"/>
  <c r="D9" i="18"/>
  <c r="D11" i="18"/>
  <c r="D58" i="18"/>
  <c r="D59" i="18"/>
  <c r="D64" i="18"/>
  <c r="D65" i="18"/>
  <c r="D68" i="18"/>
  <c r="D71" i="18"/>
  <c r="D72" i="18"/>
  <c r="D73" i="18"/>
  <c r="D76" i="18"/>
  <c r="D77" i="18"/>
  <c r="C79" i="18"/>
  <c r="D79" i="18" s="1"/>
  <c r="C74" i="18"/>
  <c r="D74" i="18" s="1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4" i="6" s="1"/>
  <c r="F50" i="18"/>
  <c r="F19" i="18"/>
  <c r="F79" i="18"/>
  <c r="G79" i="18" s="1"/>
  <c r="I79" i="18" s="1"/>
  <c r="I78" i="18" s="1"/>
  <c r="B127" i="6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B123" i="6" s="1"/>
  <c r="F36" i="18"/>
  <c r="F32" i="18"/>
  <c r="F28" i="18"/>
  <c r="G28" i="18" s="1"/>
  <c r="I28" i="18" s="1"/>
  <c r="I27" i="18" s="1"/>
  <c r="B87" i="6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K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K66" i="18" s="1"/>
  <c r="B9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09" i="6" s="1"/>
  <c r="G55" i="18"/>
  <c r="I55" i="18" s="1"/>
  <c r="I54" i="18" s="1"/>
  <c r="K54" i="18" s="1"/>
  <c r="I51" i="18"/>
  <c r="G32" i="18"/>
  <c r="I32" i="18" s="1"/>
  <c r="I31" i="18" s="1"/>
  <c r="B64" i="6" s="1"/>
  <c r="I60" i="18"/>
  <c r="B59" i="6" s="1"/>
  <c r="G37" i="18"/>
  <c r="I37" i="18" s="1"/>
  <c r="G15" i="18"/>
  <c r="I15" i="18" s="1"/>
  <c r="I14" i="18" s="1"/>
  <c r="I75" i="18"/>
  <c r="K75" i="18" s="1"/>
  <c r="G19" i="18"/>
  <c r="I19" i="18" s="1"/>
  <c r="I18" i="18" s="1"/>
  <c r="G43" i="18"/>
  <c r="I43" i="18" s="1"/>
  <c r="I42" i="18" s="1"/>
  <c r="G50" i="18"/>
  <c r="I50" i="18" s="1"/>
  <c r="I48" i="18" s="1"/>
  <c r="B93" i="6" s="1"/>
  <c r="G36" i="18"/>
  <c r="I36" i="18" s="1"/>
  <c r="G34" i="18"/>
  <c r="I34" i="18" s="1"/>
  <c r="I33" i="18" s="1"/>
  <c r="B41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B124" i="6" s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49" i="6" s="1"/>
  <c r="F22" i="17"/>
  <c r="G22" i="17" s="1"/>
  <c r="I22" i="17" s="1"/>
  <c r="I21" i="17" s="1"/>
  <c r="K21" i="17" s="1"/>
  <c r="B81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48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76" i="6" s="1"/>
  <c r="K86" i="17"/>
  <c r="B71" i="6" s="1"/>
  <c r="K92" i="17"/>
  <c r="B16" i="6" s="1"/>
  <c r="K75" i="17"/>
  <c r="B80" i="6" s="1"/>
  <c r="B107" i="6"/>
  <c r="K27" i="17"/>
  <c r="K61" i="17"/>
  <c r="B116" i="6" s="1"/>
  <c r="K80" i="17"/>
  <c r="B56" i="6" s="1"/>
  <c r="K40" i="17"/>
  <c r="B73" i="6" s="1"/>
  <c r="K84" i="17"/>
  <c r="B96" i="6" s="1"/>
  <c r="K12" i="17"/>
  <c r="B39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0" i="6" s="1"/>
  <c r="K68" i="17"/>
  <c r="B44" i="6" s="1"/>
  <c r="K47" i="17"/>
  <c r="B102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14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79" i="6" s="1"/>
  <c r="F33" i="16"/>
  <c r="G33" i="16" s="1"/>
  <c r="I33" i="16" s="1"/>
  <c r="I32" i="16" s="1"/>
  <c r="K32" i="16" s="1"/>
  <c r="B103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18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4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B4" i="6"/>
  <c r="I45" i="16"/>
  <c r="K45" i="16" s="1"/>
  <c r="B120" i="6" s="1"/>
  <c r="I48" i="16"/>
  <c r="K48" i="16" s="1"/>
  <c r="B112" i="6" s="1"/>
  <c r="I81" i="16"/>
  <c r="I65" i="16"/>
  <c r="K65" i="16" s="1"/>
  <c r="I57" i="16"/>
  <c r="I36" i="16"/>
  <c r="K36" i="16" s="1"/>
  <c r="B33" i="6" s="1"/>
  <c r="I51" i="16"/>
  <c r="K51" i="16" s="1"/>
  <c r="B6" i="6" s="1"/>
  <c r="I54" i="16"/>
  <c r="K54" i="16" s="1"/>
  <c r="B92" i="6" s="1"/>
  <c r="I39" i="16"/>
  <c r="K39" i="16" s="1"/>
  <c r="B90" i="6" s="1"/>
  <c r="I61" i="16"/>
  <c r="K61" i="16" s="1"/>
  <c r="B94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B50" i="6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B108" i="6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58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B82" i="6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B77" i="6" s="1"/>
  <c r="I46" i="15"/>
  <c r="K46" i="15" s="1"/>
  <c r="B91" i="6" s="1"/>
  <c r="I39" i="15"/>
  <c r="I52" i="15"/>
  <c r="K52" i="15" s="1"/>
  <c r="B72" i="6" s="1"/>
  <c r="I26" i="15"/>
  <c r="K26" i="15" s="1"/>
  <c r="B45" i="6" s="1"/>
  <c r="I29" i="15"/>
  <c r="K29" i="15" s="1"/>
  <c r="B110" i="6" s="1"/>
  <c r="I56" i="15"/>
  <c r="K56" i="15" s="1"/>
  <c r="B105" i="6" s="1"/>
  <c r="I61" i="15"/>
  <c r="K61" i="15" s="1"/>
  <c r="K35" i="15"/>
  <c r="K39" i="15"/>
  <c r="B95" i="6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25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74" i="6" s="1"/>
  <c r="G19" i="14"/>
  <c r="I19" i="14" s="1"/>
  <c r="I18" i="14" s="1"/>
  <c r="K18" i="14" s="1"/>
  <c r="B84" i="6" s="1"/>
  <c r="I50" i="14"/>
  <c r="J14" i="13"/>
  <c r="I21" i="14" l="1"/>
  <c r="K21" i="14" s="1"/>
  <c r="B68" i="6" s="1"/>
  <c r="I15" i="14"/>
  <c r="K15" i="14" s="1"/>
  <c r="K6" i="14"/>
  <c r="B130" i="6" s="1"/>
  <c r="I10" i="14"/>
  <c r="K10" i="14" s="1"/>
  <c r="B97" i="6" s="1"/>
  <c r="I24" i="14"/>
  <c r="K24" i="14" s="1"/>
  <c r="B11" i="6" s="1"/>
  <c r="I27" i="14"/>
  <c r="I35" i="14"/>
  <c r="K35" i="14" s="1"/>
  <c r="I47" i="14"/>
  <c r="K47" i="14" s="1"/>
  <c r="B57" i="6" s="1"/>
  <c r="I38" i="14"/>
  <c r="K38" i="14" s="1"/>
  <c r="I31" i="14"/>
  <c r="K31" i="14" s="1"/>
  <c r="I51" i="14"/>
  <c r="K51" i="14" s="1"/>
  <c r="J30" i="13"/>
  <c r="J27" i="13"/>
  <c r="K27" i="14" l="1"/>
  <c r="B13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8" i="6" s="1"/>
  <c r="F40" i="13"/>
  <c r="G40" i="13" s="1"/>
  <c r="I40" i="13" s="1"/>
  <c r="I39" i="13" s="1"/>
  <c r="K39" i="13" s="1"/>
  <c r="B42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54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69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5" i="6" s="1"/>
  <c r="I8" i="13"/>
  <c r="K8" i="13" s="1"/>
  <c r="B86" i="6" s="1"/>
  <c r="I4" i="13"/>
  <c r="K4" i="13" s="1"/>
  <c r="I43" i="13"/>
  <c r="K43" i="13" s="1"/>
  <c r="I14" i="13"/>
  <c r="K14" i="13" s="1"/>
  <c r="B62" i="6" s="1"/>
  <c r="I30" i="13"/>
  <c r="K30" i="13" s="1"/>
  <c r="B113" i="6" s="1"/>
  <c r="I27" i="13"/>
  <c r="K27" i="13" s="1"/>
  <c r="B83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99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46" i="6" s="1"/>
  <c r="F24" i="11"/>
  <c r="G24" i="11" s="1"/>
  <c r="I24" i="11" s="1"/>
  <c r="I23" i="11" s="1"/>
  <c r="K23" i="11" s="1"/>
  <c r="B34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9" i="6" s="1"/>
  <c r="F35" i="11"/>
  <c r="G35" i="11" s="1"/>
  <c r="I35" i="11" s="1"/>
  <c r="G20" i="11"/>
  <c r="I20" i="11" s="1"/>
  <c r="I19" i="11" s="1"/>
  <c r="K19" i="11" s="1"/>
  <c r="B85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6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75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29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63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04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B37" i="6" s="1"/>
  <c r="F48" i="10"/>
  <c r="G48" i="10" s="1"/>
  <c r="I48" i="10" s="1"/>
  <c r="I46" i="10" s="1"/>
  <c r="K46" i="10" s="1"/>
  <c r="B121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11" i="6" s="1"/>
  <c r="I40" i="10" l="1"/>
  <c r="K40" i="10" s="1"/>
  <c r="B31" i="6" s="1"/>
  <c r="I17" i="10"/>
  <c r="K17" i="10" s="1"/>
  <c r="B2" i="6" s="1"/>
  <c r="I30" i="10"/>
  <c r="K30" i="10" s="1"/>
  <c r="I24" i="10"/>
  <c r="K24" i="10" s="1"/>
  <c r="B61" i="6" s="1"/>
  <c r="I34" i="10"/>
  <c r="K34" i="10" s="1"/>
  <c r="B88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22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6" i="6" s="1"/>
  <c r="J27" i="5"/>
  <c r="I8" i="8" l="1"/>
  <c r="K8" i="8" s="1"/>
  <c r="I12" i="8"/>
  <c r="K12" i="8" s="1"/>
  <c r="B119" i="6" s="1"/>
  <c r="I16" i="8"/>
  <c r="K16" i="8" s="1"/>
  <c r="I28" i="8"/>
  <c r="K28" i="8" s="1"/>
  <c r="B8" i="6" s="1"/>
  <c r="I4" i="8"/>
  <c r="K4" i="8" s="1"/>
  <c r="B101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70" i="6" s="1"/>
  <c r="I13" i="7"/>
  <c r="K13" i="7" s="1"/>
  <c r="B12" i="6" s="1"/>
  <c r="I19" i="7"/>
  <c r="K19" i="7" s="1"/>
  <c r="I30" i="7"/>
  <c r="K30" i="7" s="1"/>
  <c r="B126" i="6" s="1"/>
  <c r="I9" i="7"/>
  <c r="K9" i="7" s="1"/>
  <c r="B5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00" i="6" s="1"/>
  <c r="F11" i="5"/>
  <c r="G11" i="5" s="1"/>
  <c r="I11" i="5" s="1"/>
  <c r="I36" i="5" l="1"/>
  <c r="K36" i="5" s="1"/>
  <c r="I4" i="5"/>
  <c r="K4" i="5" s="1"/>
  <c r="B117" i="6" s="1"/>
  <c r="I24" i="5"/>
  <c r="K24" i="5" s="1"/>
  <c r="I9" i="5"/>
  <c r="K9" i="5" s="1"/>
  <c r="I21" i="5"/>
  <c r="K21" i="5" s="1"/>
  <c r="B65" i="6" s="1"/>
  <c r="I27" i="5"/>
  <c r="K27" i="5" s="1"/>
  <c r="B67" i="6" s="1"/>
  <c r="I33" i="5"/>
  <c r="K33" i="5" s="1"/>
  <c r="B21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2" i="6" s="1"/>
  <c r="G61" i="4"/>
  <c r="I61" i="4" s="1"/>
  <c r="I55" i="4" s="1"/>
  <c r="K55" i="4" s="1"/>
  <c r="B19" i="6" s="1"/>
  <c r="I20" i="4"/>
  <c r="I19" i="4" s="1"/>
  <c r="K19" i="4" s="1"/>
  <c r="I70" i="4"/>
  <c r="K70" i="4" s="1"/>
  <c r="B60" i="6" s="1"/>
  <c r="I66" i="4"/>
  <c r="K66" i="4" s="1"/>
  <c r="B89" i="6" s="1"/>
  <c r="I50" i="4"/>
  <c r="K50" i="4" s="1"/>
  <c r="B23" i="6" s="1"/>
  <c r="I37" i="4"/>
  <c r="K37" i="4" s="1"/>
  <c r="I53" i="4"/>
  <c r="K53" i="4" s="1"/>
  <c r="I39" i="4"/>
  <c r="K39" i="4" s="1"/>
  <c r="I45" i="4"/>
  <c r="I14" i="4"/>
  <c r="K14" i="4" s="1"/>
  <c r="I7" i="4"/>
  <c r="K7" i="4" s="1"/>
  <c r="B53" i="6" s="1"/>
  <c r="I21" i="4"/>
  <c r="K21" i="4" s="1"/>
  <c r="I28" i="4"/>
  <c r="K28" i="4" s="1"/>
  <c r="B27" i="6" s="1"/>
  <c r="I24" i="4"/>
  <c r="K24" i="4" s="1"/>
  <c r="B22" i="6" s="1"/>
  <c r="I33" i="4"/>
  <c r="K33" i="4" s="1"/>
  <c r="K45" i="4" l="1"/>
  <c r="B35" i="6" s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5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106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28" i="6" s="1"/>
  <c r="I37" i="3"/>
  <c r="K37" i="3" s="1"/>
  <c r="B7" i="6" s="1"/>
  <c r="I21" i="3"/>
  <c r="I26" i="3"/>
  <c r="K26" i="3" s="1"/>
  <c r="B98" i="6" s="1"/>
  <c r="I15" i="3"/>
  <c r="K15" i="3" s="1"/>
  <c r="I42" i="3"/>
  <c r="K42" i="3" s="1"/>
  <c r="B3" i="6" s="1"/>
  <c r="I32" i="3"/>
  <c r="K32" i="3" s="1"/>
  <c r="K6" i="3"/>
  <c r="B51" i="6" s="1"/>
  <c r="F46" i="2"/>
  <c r="G46" i="2" s="1"/>
  <c r="F27" i="2"/>
  <c r="G27" i="2" s="1"/>
  <c r="I27" i="2" s="1"/>
  <c r="I26" i="2" s="1"/>
  <c r="K26" i="2" s="1"/>
  <c r="B38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47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2" i="6" s="1"/>
  <c r="I22" i="2"/>
  <c r="K22" i="2" s="1"/>
  <c r="B17" i="6" s="1"/>
  <c r="I5" i="2"/>
  <c r="K5" i="2" s="1"/>
  <c r="B10" i="6" s="1"/>
  <c r="I41" i="2"/>
  <c r="K41" i="2" s="1"/>
  <c r="B20" i="6" s="1"/>
  <c r="I35" i="2"/>
  <c r="K35" i="2" s="1"/>
  <c r="B78" i="6" s="1"/>
  <c r="I28" i="2"/>
  <c r="K28" i="2" s="1"/>
  <c r="B40" i="6" s="1"/>
  <c r="I19" i="2"/>
  <c r="K19" i="2" s="1"/>
  <c r="B115" i="6" s="1"/>
  <c r="I15" i="2"/>
  <c r="K15" i="2" s="1"/>
  <c r="B118" i="6" s="1"/>
  <c r="I38" i="2"/>
  <c r="K38" i="2" s="1"/>
  <c r="B66" i="6" s="1"/>
  <c r="I10" i="2"/>
  <c r="K10" i="2" s="1"/>
  <c r="B43" i="6" s="1"/>
  <c r="I32" i="2"/>
  <c r="K32" i="2" s="1"/>
  <c r="B55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<sst xmlns="http://schemas.openxmlformats.org/spreadsheetml/2006/main" count="1295" uniqueCount="672">
  <si>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</si>
  <si>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</si>
  <si>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</si>
  <si>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</si>
  <si>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</si>
  <si>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</si>
  <si>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</si>
  <si>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</si>
  <si>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</si>
  <si>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</si>
  <si>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</si>
  <si>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</si>
  <si>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</si>
  <si>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</si>
  <si>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</si>
  <si>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</si>
  <si>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</si>
  <si>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</si>
  <si>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</si>
  <si>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</si>
  <si>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</si>
  <si>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</si>
  <si>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</si>
  <si>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</si>
  <si>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</si>
  <si>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</si>
  <si>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</si>
  <si>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</si>
  <si>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</si>
  <si>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</si>
  <si>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</si>
  <si>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</si>
  <si>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</si>
  <si>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</si>
  <si>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</si>
  <si>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</si>
  <si>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</si>
  <si>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</si>
  <si>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</si>
  <si>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</si>
  <si>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</si>
  <si>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</si>
  <si>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</si>
  <si>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</si>
  <si>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</si>
  <si>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</si>
  <si>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</si>
  <si>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</si>
  <si>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</si>
  <si>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</si>
  <si>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</si>
  <si>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</si>
  <si>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</si>
  <si>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</si>
  <si>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</si>
  <si>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</si>
  <si>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</si>
  <si>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</si>
  <si>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</si>
  <si>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</si>
  <si>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</si>
  <si>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</si>
  <si>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</si>
  <si>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</si>
  <si>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</si>
  <si>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</si>
  <si>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</si>
  <si>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</si>
  <si>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</si>
  <si>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</si>
  <si>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</si>
  <si>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</si>
  <si>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</si>
  <si>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</si>
  <si>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</si>
  <si>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</si>
  <si>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</si>
  <si>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</si>
  <si>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</si>
  <si>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</si>
  <si>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</si>
  <si>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</si>
  <si>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</si>
  <si>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</si>
  <si>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</si>
  <si>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</si>
  <si>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</si>
  <si>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</si>
  <si>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</si>
  <si>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</si>
  <si>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</si>
  <si>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</si>
  <si>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</si>
  <si>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</si>
  <si>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</si>
  <si>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</si>
  <si>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</si>
  <si>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</si>
  <si>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</si>
  <si>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</si>
  <si>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</si>
  <si>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</si>
  <si>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</si>
  <si>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</si>
  <si>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</si>
  <si>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</si>
  <si>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</si>
  <si>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</si>
  <si>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</si>
  <si>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</si>
  <si>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</si>
  <si>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</si>
  <si>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</si>
  <si>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</si>
  <si>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</si>
  <si>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</si>
  <si>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</si>
  <si>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</si>
  <si>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</si>
  <si>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</si>
  <si>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</si>
  <si>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</si>
  <si>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</si>
  <si>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</si>
  <si>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</si>
  <si>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</si>
  <si>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</si>
  <si>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</si>
  <si>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</si>
  <si>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</si>
  <si>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</si>
  <si>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</si>
  <si>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</si>
  <si>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</si>
  <si>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</si>
  <si>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</si>
  <si>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</si>
  <si>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</si>
  <si>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</si>
  <si>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</si>
  <si>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</si>
  <si>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</si>
  <si>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</si>
  <si>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</si>
  <si>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</si>
  <si>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</si>
  <si>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</si>
  <si>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</si>
  <si>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</si>
  <si>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</si>
  <si>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</si>
  <si>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</si>
  <si>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</si>
  <si>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</si>
  <si>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</si>
  <si>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</si>
  <si>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</si>
  <si>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</si>
  <si>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</si>
  <si>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</si>
  <si>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</si>
  <si>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</si>
  <si>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</si>
  <si>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</si>
  <si>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</si>
  <si>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</si>
  <si>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</si>
  <si>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</si>
  <si>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</si>
  <si>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</si>
  <si>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</si>
  <si>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</si>
  <si>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</si>
  <si>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</si>
  <si>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</si>
  <si>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</si>
  <si>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</si>
  <si>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</si>
  <si>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</si>
  <si>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</si>
  <si>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</si>
  <si>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</si>
  <si>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</si>
  <si>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</si>
  <si>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</si>
  <si>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</si>
  <si>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</si>
  <si>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</si>
  <si>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</si>
  <si>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</si>
  <si>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</si>
  <si>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</si>
  <si>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</si>
  <si>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</si>
  <si>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</si>
  <si>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</si>
  <si>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</si>
  <si>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</si>
  <si>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</si>
  <si>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</si>
  <si>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</si>
  <si>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</si>
  <si>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</si>
  <si>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</si>
  <si>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</si>
  <si>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</si>
  <si>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</si>
  <si>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</si>
  <si>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</si>
  <si>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</si>
  <si>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</si>
  <si>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</si>
  <si>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</si>
  <si>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</si>
  <si>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</si>
  <si>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</si>
  <si>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</si>
  <si>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</si>
  <si>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</si>
  <si>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</si>
  <si>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</si>
  <si>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</si>
  <si>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</si>
  <si>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</si>
  <si>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</si>
  <si>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</si>
  <si>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</si>
  <si>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</si>
  <si>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</si>
  <si>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</si>
  <si>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</si>
  <si>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</si>
  <si>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</si>
  <si>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</si>
  <si>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</si>
  <si>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</si>
  <si>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</si>
  <si>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</si>
  <si>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</si>
  <si>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</si>
  <si>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</si>
  <si>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</si>
  <si>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</si>
  <si>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</si>
  <si>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</si>
  <si>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</si>
  <si>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</si>
  <si>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</si>
  <si>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</si>
  <si>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</si>
  <si>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</si>
  <si>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</si>
  <si>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</si>
  <si>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</si>
  <si>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</si>
  <si>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</si>
  <si>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</si>
  <si>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</si>
  <si>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</si>
  <si>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</si>
  <si>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</si>
  <si>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</si>
  <si>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</si>
  <si>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</si>
  <si>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</si>
  <si>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</si>
  <si>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</si>
  <si>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</si>
  <si>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</si>
  <si>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</si>
  <si>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</si>
  <si>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</si>
  <si>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</si>
  <si>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</si>
  <si>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</si>
  <si>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</si>
  <si>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</si>
  <si>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</si>
  <si>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</si>
  <si>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</si>
  <si>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</si>
  <si>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</si>
  <si>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</si>
  <si>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</si>
  <si>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</si>
  <si>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</si>
  <si>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</si>
  <si>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</si>
  <si>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</si>
  <si>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</si>
  <si>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</si>
  <si>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</si>
  <si>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</si>
  <si>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</si>
  <si>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</si>
  <si>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</si>
  <si>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</si>
  <si>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</si>
  <si>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</si>
  <si>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</si>
  <si>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</si>
  <si>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</si>
  <si>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</si>
  <si>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</si>
  <si>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</si>
  <si>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</si>
  <si>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</si>
  <si>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</si>
  <si>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</si>
  <si>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</si>
  <si>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</si>
  <si>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</si>
  <si>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</si>
  <si>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</si>
  <si>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</si>
  <si>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</si>
  <si>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</si>
  <si>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</si>
  <si>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</si>
  <si>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</si>
  <si>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</si>
  <si>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</si>
  <si>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</si>
  <si>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</si>
  <si>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</si>
  <si>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</si>
  <si>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</si>
  <si>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</si>
  <si>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</si>
  <si>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</si>
  <si>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</si>
  <si>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</si>
  <si>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</si>
  <si>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</si>
  <si>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</si>
  <si>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</si>
  <si>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</si>
  <si>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</si>
  <si>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</si>
  <si>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</si>
  <si>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</si>
  <si>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</si>
  <si>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</si>
  <si>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</si>
  <si>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</si>
  <si>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</si>
  <si>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</si>
  <si>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</si>
  <si>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</si>
  <si>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</si>
  <si>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</si>
  <si>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</si>
  <si>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</si>
  <si>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</si>
  <si>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</si>
  <si>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</si>
  <si>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</si>
  <si>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</si>
  <si>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</si>
  <si>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</si>
  <si>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</si>
  <si>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</si>
  <si>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</si>
  <si>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</si>
  <si>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</si>
  <si>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</si>
  <si>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</si>
  <si>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</si>
  <si>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</si>
  <si>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</si>
  <si>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</si>
  <si>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</si>
  <si>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</si>
  <si>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</si>
  <si>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</si>
  <si>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</si>
  <si>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</si>
  <si>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</si>
  <si>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</si>
  <si>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</si>
  <si>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</si>
  <si>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</si>
  <si>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</si>
  <si>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</si>
  <si>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</si>
  <si>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</si>
  <si>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</si>
  <si>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</si>
  <si>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</si>
  <si>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</si>
  <si>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</si>
  <si>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</si>
  <si>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</si>
  <si>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</si>
  <si>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</si>
  <si>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</si>
  <si>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</si>
  <si>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</si>
  <si>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</si>
  <si>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</si>
  <si>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</si>
  <si>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</si>
  <si>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</si>
  <si>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</si>
  <si>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</si>
  <si>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</si>
  <si>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</si>
  <si>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</si>
  <si>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</si>
  <si>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</si>
  <si>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</si>
  <si>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</si>
  <si>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</si>
  <si>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</si>
  <si>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</si>
  <si>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</si>
  <si>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</si>
  <si>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</si>
  <si>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</si>
  <si>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</si>
  <si>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</si>
  <si>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</si>
  <si>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</si>
  <si>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</si>
  <si>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</si>
  <si>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</si>
  <si>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</si>
  <si>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</si>
  <si>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</si>
  <si>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</si>
  <si>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</si>
  <si>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</si>
  <si>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</si>
  <si>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</si>
  <si>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</si>
  <si>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</si>
  <si>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</si>
  <si>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</si>
  <si>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</si>
  <si>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</si>
  <si>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</si>
  <si>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</si>
  <si>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</si>
  <si>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</si>
  <si>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</si>
  <si>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</si>
  <si>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</si>
  <si>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</si>
  <si>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</si>
  <si>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</si>
  <si>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</si>
  <si>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</si>
  <si>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</si>
  <si>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</si>
  <si>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</si>
  <si>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</si>
  <si>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</si>
  <si>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</si>
  <si>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</si>
  <si>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</si>
  <si>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</si>
  <si>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</si>
  <si>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</si>
  <si>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</si>
  <si>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</si>
  <si>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</si>
  <si>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</si>
  <si>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</si>
  <si>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</si>
  <si>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</si>
  <si>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</si>
  <si>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</si>
  <si>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</si>
  <si>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</si>
  <si>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</si>
  <si>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</si>
  <si>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</si>
  <si>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</si>
  <si>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</si>
  <si>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</si>
  <si>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</si>
  <si>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</si>
  <si>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</si>
  <si>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</si>
  <si>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</si>
  <si>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</si>
  <si>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</si>
  <si>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</si>
  <si>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</si>
  <si>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</si>
  <si>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</si>
  <si>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</si>
  <si>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</si>
  <si>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</si>
  <si>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</si>
  <si>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</si>
  <si>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</si>
  <si>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</si>
  <si>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</si>
  <si>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</si>
  <si>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</si>
  <si>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</si>
  <si>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</si>
  <si>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</si>
  <si>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</si>
  <si>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</si>
  <si>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</si>
  <si>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</si>
  <si>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</si>
  <si>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2, 13, 14</t>
  </si>
  <si>
    <t>2, 14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</si>
  <si>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</si>
  <si>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</si>
  <si>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</si>
  <si>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</si>
  <si>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</si>
  <si>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</si>
  <si>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</si>
  <si>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</si>
  <si>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</si>
  <si>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</si>
  <si>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</si>
  <si>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</si>
  <si>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</si>
  <si>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</si>
  <si>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</si>
  <si>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</si>
  <si>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</si>
  <si>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</si>
  <si>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</si>
  <si>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</si>
  <si>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</si>
  <si>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</si>
  <si>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</si>
  <si>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</si>
  <si>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</si>
  <si>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</si>
  <si>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</si>
  <si>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</si>
  <si>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</si>
  <si>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</si>
  <si>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</si>
  <si>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</si>
  <si>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</si>
  <si>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</si>
  <si>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</si>
  <si>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</si>
  <si>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</si>
  <si>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</si>
  <si>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</si>
  <si>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</si>
  <si>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</si>
  <si>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</si>
  <si>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</si>
  <si>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</si>
  <si>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</si>
  <si>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</si>
  <si>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</si>
  <si>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</si>
  <si>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</si>
  <si>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</si>
  <si>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2, 3, 4, 6, 8, 12, 15</t>
  </si>
  <si>
    <t>12, 15</t>
  </si>
  <si>
    <t>14, 15</t>
  </si>
  <si>
    <t>13, 14, 15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</si>
  <si>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</si>
  <si>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</si>
  <si>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</si>
  <si>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</si>
  <si>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</si>
  <si>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</si>
  <si>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</si>
  <si>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</si>
  <si>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</si>
  <si>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</si>
  <si>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</si>
  <si>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</si>
  <si>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</si>
  <si>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</si>
  <si>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</si>
  <si>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</si>
  <si>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</si>
  <si>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</si>
  <si>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</si>
  <si>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</si>
  <si>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</si>
  <si>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</si>
  <si>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</si>
  <si>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</si>
  <si>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</si>
  <si>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</si>
  <si>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</si>
  <si>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</si>
  <si>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</si>
  <si>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</si>
  <si>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</si>
  <si>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</si>
  <si>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</si>
  <si>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</si>
  <si>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</si>
  <si>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</si>
  <si>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</si>
  <si>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</si>
  <si>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</si>
  <si>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</si>
  <si>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</si>
  <si>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</si>
  <si>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</si>
  <si>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</si>
  <si>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</si>
  <si>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</si>
  <si>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</si>
  <si>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</si>
  <si>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</si>
  <si>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</si>
  <si>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</si>
  <si>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</si>
  <si>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</si>
  <si>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14, 15, 16</t>
  </si>
  <si>
    <t>3, 4, 7, 9, 10,11, 16</t>
  </si>
  <si>
    <t>15, 16</t>
  </si>
  <si>
    <t>12, 13, 15, 16</t>
  </si>
  <si>
    <t>13, 14, 16</t>
  </si>
  <si>
    <t>2, 3, 4, 8, 16</t>
  </si>
  <si>
    <t>13, 15, 16</t>
  </si>
  <si>
    <t>12, 13, 14, 16</t>
  </si>
  <si>
    <t>6, 10, 11, 15, 16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</si>
  <si>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</si>
  <si>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</si>
  <si>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</si>
  <si>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</si>
  <si>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</si>
  <si>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</si>
  <si>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</si>
  <si>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</si>
  <si>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</si>
  <si>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</si>
  <si>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</si>
  <si>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</si>
  <si>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</si>
  <si>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</si>
  <si>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</si>
  <si>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</si>
  <si>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</si>
  <si>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</si>
  <si>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</si>
  <si>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</si>
  <si>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</si>
  <si>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</si>
  <si>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</si>
  <si>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</si>
  <si>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</si>
  <si>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</si>
  <si>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</si>
  <si>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</si>
  <si>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</si>
  <si>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</si>
  <si>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</si>
  <si>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</si>
  <si>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</si>
  <si>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15, 17</t>
  </si>
  <si>
    <t>14, 16, 17</t>
  </si>
  <si>
    <t>15, 16, 17</t>
  </si>
  <si>
    <t>12, 14, 15, 17</t>
  </si>
  <si>
    <t>14, 15, 17</t>
  </si>
  <si>
    <t>6,11, 16, 17</t>
  </si>
  <si>
    <t>12, 16, 17</t>
  </si>
  <si>
    <t>9, 17</t>
  </si>
  <si>
    <t>4, 13, 14, 15, 16, 17</t>
  </si>
  <si>
    <t>3, 4, 6, 7,9, 15, 17</t>
  </si>
  <si>
    <t>MT-8G  -2шт</t>
  </si>
  <si>
    <t>ориг.упак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</si>
</sst>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104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104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104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104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115" workbookViewId="0">
      <selection activeCell="A127" sqref="A127"/>
    </sheetView>
  </sheetViews>
  <sheetFormatPr defaultRowHeight="14.5" x14ac:dyDescent="0.35"/>
  <cols>
    <col min="1" max="1" width="29.453125" style="130" customWidth="1"/>
    <col min="2" max="2" width="17.26953125" style="41" customWidth="1"/>
    <col min="3" max="3" width="17.81640625" style="41" customWidth="1"/>
  </cols>
  <sheetData>
    <row r="1" spans="1:4" ht="40.5" customHeight="1" x14ac:dyDescent="0.35">
      <c r="A1" s="127" t="s">
        <v>169</v>
      </c>
      <c r="B1" s="69" t="s">
        <v>170</v>
      </c>
      <c r="C1" s="69" t="s">
        <v>172</v>
      </c>
      <c r="D1" s="70" t="s">
        <v>171</v>
      </c>
    </row>
    <row r="2" spans="1:4" x14ac:dyDescent="0.35">
      <c r="A2" s="128">
        <v>51150</v>
      </c>
      <c r="B2" s="34">
        <f>'9'!K17</f>
        <v>2.2024084363238217E-2</v>
      </c>
      <c r="C2" s="6">
        <v>9</v>
      </c>
    </row>
    <row r="3" spans="1:4" x14ac:dyDescent="0.35">
      <c r="A3" s="129" t="s">
        <v>99</v>
      </c>
      <c r="B3" s="34">
        <f>'3'!K42+'4'!K33+'9'!K38</f>
        <v>-7.9377163718951351</v>
      </c>
      <c r="C3" s="6" t="s">
        <v>331</v>
      </c>
    </row>
    <row r="4" spans="1:4" x14ac:dyDescent="0.35">
      <c r="A4" s="125" t="s">
        <v>527</v>
      </c>
      <c r="B4" s="34">
        <f>'15'!K28</f>
        <v>0.22149370932061174</v>
      </c>
      <c r="C4" s="6">
        <v>15</v>
      </c>
    </row>
    <row r="5" spans="1:4" x14ac:dyDescent="0.35">
      <c r="A5" s="9" t="s">
        <v>216</v>
      </c>
      <c r="B5" s="34">
        <f>'6'!K9+'10'!K11+'11'!K13+'15'!K81+'16'!K8</f>
        <v>173.38718597125626</v>
      </c>
      <c r="C5" s="6" t="s">
        <v>626</v>
      </c>
    </row>
    <row r="6" spans="1:4" x14ac:dyDescent="0.35">
      <c r="A6" s="125" t="s">
        <v>542</v>
      </c>
      <c r="B6" s="34">
        <f>'15'!K51</f>
        <v>-0.4418788720381599</v>
      </c>
      <c r="C6" s="6">
        <v>15</v>
      </c>
    </row>
    <row r="7" spans="1:4" x14ac:dyDescent="0.35">
      <c r="A7" s="129" t="s">
        <v>94</v>
      </c>
      <c r="B7" s="34">
        <f>'3'!K37+'8'!K14</f>
        <v>-3.8651789382897732</v>
      </c>
      <c r="C7" s="6" t="s">
        <v>285</v>
      </c>
    </row>
    <row r="8" spans="1:4" x14ac:dyDescent="0.35">
      <c r="A8" s="129" t="s">
        <v>260</v>
      </c>
      <c r="B8" s="34">
        <f>'7n'!K28</f>
        <v>0.19436787907420694</v>
      </c>
      <c r="C8" s="6">
        <v>7</v>
      </c>
    </row>
    <row r="9" spans="1:4" x14ac:dyDescent="0.35">
      <c r="A9" s="137" t="s">
        <v>653</v>
      </c>
      <c r="B9" s="34">
        <f>'17'!K66</f>
        <v>-3.3378349999998136</v>
      </c>
      <c r="C9" s="6">
        <v>17</v>
      </c>
    </row>
    <row r="10" spans="1:4" x14ac:dyDescent="0.35">
      <c r="A10" s="129" t="s">
        <v>18</v>
      </c>
      <c r="B10" s="34">
        <f>'2'!K5</f>
        <v>-18.360362166064988</v>
      </c>
      <c r="C10" s="6">
        <v>2</v>
      </c>
    </row>
    <row r="11" spans="1:4" x14ac:dyDescent="0.35">
      <c r="A11" s="129" t="s">
        <v>444</v>
      </c>
      <c r="B11" s="34">
        <f>'13'!K24+'14'!K16+'16'!K33</f>
        <v>-0.26689851483075699</v>
      </c>
      <c r="C11" s="6" t="s">
        <v>622</v>
      </c>
    </row>
    <row r="12" spans="1:4" x14ac:dyDescent="0.35">
      <c r="A12" s="129" t="s">
        <v>220</v>
      </c>
      <c r="B12" s="34">
        <f>'6'!K13</f>
        <v>56.724288616462218</v>
      </c>
      <c r="C12" s="6">
        <v>6</v>
      </c>
    </row>
    <row r="13" spans="1:4" x14ac:dyDescent="0.35">
      <c r="A13" s="125" t="s">
        <v>447</v>
      </c>
      <c r="B13" s="34">
        <f>'13'!K27</f>
        <v>-6.72987149164328E-3</v>
      </c>
      <c r="C13" s="6">
        <v>13</v>
      </c>
    </row>
    <row r="14" spans="1:4" x14ac:dyDescent="0.35">
      <c r="A14" s="137" t="s">
        <v>627</v>
      </c>
      <c r="B14" s="34">
        <f>'17'!K6</f>
        <v>-1.0678952702702418</v>
      </c>
      <c r="C14" s="6">
        <v>17</v>
      </c>
    </row>
    <row r="15" spans="1:4" x14ac:dyDescent="0.35">
      <c r="A15" s="129" t="s">
        <v>77</v>
      </c>
      <c r="B15" s="34">
        <f>'3'!K13</f>
        <v>20.366267281105991</v>
      </c>
      <c r="C15" s="6">
        <v>3</v>
      </c>
    </row>
    <row r="16" spans="1:4" x14ac:dyDescent="0.35">
      <c r="A16" s="129" t="s">
        <v>616</v>
      </c>
      <c r="B16" s="34">
        <f>'16'!K92</f>
        <v>-0.25120132769154679</v>
      </c>
      <c r="C16" s="6">
        <v>16</v>
      </c>
    </row>
    <row r="17" spans="1:3" x14ac:dyDescent="0.35">
      <c r="A17" s="125" t="s">
        <v>283</v>
      </c>
      <c r="B17" s="34">
        <f>'2'!K22+'3'!K32+'4'!K37+'6'!K7+'8'!K24+'12'!K19+'15'!K65</f>
        <v>-99.510660036806883</v>
      </c>
      <c r="C17" s="6" t="s">
        <v>561</v>
      </c>
    </row>
    <row r="18" spans="1:3" x14ac:dyDescent="0.35">
      <c r="A18" s="9" t="s">
        <v>584</v>
      </c>
      <c r="B18" s="34">
        <f>'15'!K18+'16'!K27</f>
        <v>-14.036527946062506</v>
      </c>
      <c r="C18" s="6" t="s">
        <v>620</v>
      </c>
    </row>
    <row r="19" spans="1:3" x14ac:dyDescent="0.35">
      <c r="A19" s="129" t="s">
        <v>146</v>
      </c>
      <c r="B19" s="34">
        <f>'4'!K55+'5'!K24</f>
        <v>1.4832353088727359</v>
      </c>
      <c r="C19" s="6" t="s">
        <v>209</v>
      </c>
    </row>
    <row r="20" spans="1:3" x14ac:dyDescent="0.35">
      <c r="A20" s="129" t="s">
        <v>54</v>
      </c>
      <c r="B20" s="34">
        <f>'2'!K41+'8'!K4</f>
        <v>0.23645473267038142</v>
      </c>
      <c r="C20" s="6" t="s">
        <v>284</v>
      </c>
    </row>
    <row r="21" spans="1:3" x14ac:dyDescent="0.35">
      <c r="A21" s="129" t="s">
        <v>201</v>
      </c>
      <c r="B21" s="34">
        <f>'5'!K33</f>
        <v>0.14392093673404815</v>
      </c>
      <c r="C21" s="6">
        <v>5</v>
      </c>
    </row>
    <row r="22" spans="1:3" x14ac:dyDescent="0.35">
      <c r="A22" s="129" t="s">
        <v>122</v>
      </c>
      <c r="B22" s="34">
        <f>'4'!K24</f>
        <v>-0.19496901104821518</v>
      </c>
      <c r="C22" s="6">
        <v>4</v>
      </c>
    </row>
    <row r="23" spans="1:3" x14ac:dyDescent="0.35">
      <c r="A23" s="125" t="s">
        <v>143</v>
      </c>
      <c r="B23" s="34">
        <f>'4'!K50+'5'!K36+'6'!K19+'7n'!K33+'8'!K18+'11'!K16+'12'!K33</f>
        <v>6.0736406817109128</v>
      </c>
      <c r="C23" s="6" t="s">
        <v>423</v>
      </c>
    </row>
    <row r="24" spans="1:3" x14ac:dyDescent="0.35">
      <c r="A24" s="125" t="s">
        <v>519</v>
      </c>
      <c r="B24" s="34">
        <f>'15'!K14</f>
        <v>-0.29705359427168787</v>
      </c>
      <c r="C24" s="6">
        <v>15</v>
      </c>
    </row>
    <row r="25" spans="1:3" x14ac:dyDescent="0.35">
      <c r="A25" s="125" t="s">
        <v>436</v>
      </c>
      <c r="B25" s="34">
        <f>'12'!K23+'13'!K15+'14'!K61</f>
        <v>24.25875409505943</v>
      </c>
      <c r="C25" s="6" t="s">
        <v>508</v>
      </c>
    </row>
    <row r="26" spans="1:3" x14ac:dyDescent="0.35">
      <c r="A26" s="129" t="s">
        <v>336</v>
      </c>
      <c r="B26" s="34">
        <f>'10'!K4+'11'!K10</f>
        <v>38.703111418328263</v>
      </c>
      <c r="C26" s="6" t="s">
        <v>384</v>
      </c>
    </row>
    <row r="27" spans="1:3" x14ac:dyDescent="0.35">
      <c r="A27" s="129" t="s">
        <v>126</v>
      </c>
      <c r="B27" s="34">
        <f>'4'!K28+'9'!K9</f>
        <v>0.29688413578378459</v>
      </c>
      <c r="C27" s="6">
        <v>4.9000000000000004</v>
      </c>
    </row>
    <row r="28" spans="1:3" x14ac:dyDescent="0.35">
      <c r="A28" s="125" t="s">
        <v>420</v>
      </c>
      <c r="B28" s="34">
        <f>'12'!K41+'15'!K16</f>
        <v>0.10667034423772748</v>
      </c>
      <c r="C28" s="6" t="s">
        <v>562</v>
      </c>
    </row>
    <row r="29" spans="1:3" x14ac:dyDescent="0.35">
      <c r="A29" s="129" t="s">
        <v>347</v>
      </c>
      <c r="B29" s="34">
        <f>'10'!K21</f>
        <v>1.5995609988053729</v>
      </c>
      <c r="C29" s="6">
        <v>10</v>
      </c>
    </row>
    <row r="30" spans="1:3" x14ac:dyDescent="0.35">
      <c r="A30" s="129" t="s">
        <v>586</v>
      </c>
      <c r="B30" s="34">
        <f>'16'!K29</f>
        <v>0.1401196892338703</v>
      </c>
      <c r="C30" s="6">
        <v>16</v>
      </c>
    </row>
    <row r="31" spans="1:3" x14ac:dyDescent="0.35">
      <c r="A31" s="129" t="s">
        <v>319</v>
      </c>
      <c r="B31" s="34">
        <f>'9'!K40</f>
        <v>0.46922662433371443</v>
      </c>
      <c r="C31" s="6">
        <v>9</v>
      </c>
    </row>
    <row r="32" spans="1:3" x14ac:dyDescent="0.35">
      <c r="A32" s="137" t="s">
        <v>13</v>
      </c>
      <c r="B32" s="34">
        <f>'3'!K21+'4'!K62+'6'!K27+'7n'!K19+'9'!K4+'15'!K42+'17'!K8</f>
        <v>1.8951314426071235</v>
      </c>
      <c r="C32" s="6" t="s">
        <v>669</v>
      </c>
    </row>
    <row r="33" spans="1:3" x14ac:dyDescent="0.35">
      <c r="A33" s="125" t="s">
        <v>531</v>
      </c>
      <c r="B33" s="34">
        <f>'15'!K36</f>
        <v>0.21980348767056057</v>
      </c>
      <c r="C33" s="6">
        <v>15</v>
      </c>
    </row>
    <row r="34" spans="1:3" x14ac:dyDescent="0.35">
      <c r="A34" s="129" t="s">
        <v>349</v>
      </c>
      <c r="B34" s="34">
        <f>'10'!K23</f>
        <v>3.2743230371329446</v>
      </c>
      <c r="C34" s="6">
        <v>10</v>
      </c>
    </row>
    <row r="35" spans="1:3" x14ac:dyDescent="0.35">
      <c r="A35" s="137" t="s">
        <v>603</v>
      </c>
      <c r="B35" s="34">
        <f>'4'!K45+'13'!K8+'14'!K18+'15'!K30+'16'!K63+'17'!K51</f>
        <v>-69.484257910918132</v>
      </c>
      <c r="C35" s="6" t="s">
        <v>668</v>
      </c>
    </row>
    <row r="36" spans="1:3" x14ac:dyDescent="0.35">
      <c r="A36" s="129" t="s">
        <v>257</v>
      </c>
      <c r="B36" s="34">
        <f>'7n'!K25</f>
        <v>0.3532323638573871</v>
      </c>
      <c r="C36" s="6">
        <v>7</v>
      </c>
    </row>
    <row r="37" spans="1:3" x14ac:dyDescent="0.35">
      <c r="A37" s="137" t="s">
        <v>326</v>
      </c>
      <c r="B37" s="34">
        <f>'9'!K51+'17'!K38</f>
        <v>-19.359227682629125</v>
      </c>
      <c r="C37" s="6" t="s">
        <v>667</v>
      </c>
    </row>
    <row r="38" spans="1:3" x14ac:dyDescent="0.35">
      <c r="A38" s="129" t="s">
        <v>41</v>
      </c>
      <c r="B38" s="34">
        <f>'2'!K26+'4'!K12+'10'!K30</f>
        <v>4.7255136871676768</v>
      </c>
      <c r="C38" s="6" t="s">
        <v>362</v>
      </c>
    </row>
    <row r="39" spans="1:3" x14ac:dyDescent="0.35">
      <c r="A39" s="137" t="s">
        <v>573</v>
      </c>
      <c r="B39" s="34">
        <f>'16'!K12+'17'!K69</f>
        <v>-24.937182364818909</v>
      </c>
      <c r="C39" s="6" t="s">
        <v>659</v>
      </c>
    </row>
    <row r="40" spans="1:3" x14ac:dyDescent="0.35">
      <c r="A40" s="125" t="s">
        <v>42</v>
      </c>
      <c r="B40" s="34">
        <f>'2'!K28+'13'!K4+'14'!K24</f>
        <v>10.150760020069583</v>
      </c>
      <c r="C40" s="6" t="s">
        <v>509</v>
      </c>
    </row>
    <row r="41" spans="1:3" x14ac:dyDescent="0.35">
      <c r="A41" s="137" t="s">
        <v>639</v>
      </c>
      <c r="B41" s="34">
        <f>'17'!K33</f>
        <v>1.5364777027027685</v>
      </c>
      <c r="C41" s="6">
        <v>17</v>
      </c>
    </row>
    <row r="42" spans="1:3" x14ac:dyDescent="0.35">
      <c r="A42" s="125" t="s">
        <v>418</v>
      </c>
      <c r="B42" s="34">
        <f>'12'!K39</f>
        <v>117.27201612050521</v>
      </c>
      <c r="C42" s="6">
        <v>12</v>
      </c>
    </row>
    <row r="43" spans="1:3" x14ac:dyDescent="0.35">
      <c r="A43" s="129" t="s">
        <v>23</v>
      </c>
      <c r="B43" s="34">
        <f>'2'!K10+'4'!K53</f>
        <v>-0.16346633469470362</v>
      </c>
      <c r="C43" s="6" t="s">
        <v>173</v>
      </c>
    </row>
    <row r="44" spans="1:3" x14ac:dyDescent="0.35">
      <c r="A44" s="129" t="s">
        <v>591</v>
      </c>
      <c r="B44" s="34">
        <f>'16'!K68</f>
        <v>0.22589220615918748</v>
      </c>
      <c r="C44" s="6">
        <v>16</v>
      </c>
    </row>
    <row r="45" spans="1:3" x14ac:dyDescent="0.35">
      <c r="A45" s="129" t="s">
        <v>486</v>
      </c>
      <c r="B45" s="34">
        <f>'14'!K26</f>
        <v>5.4163701639623696</v>
      </c>
      <c r="C45" s="6">
        <v>14</v>
      </c>
    </row>
    <row r="46" spans="1:3" x14ac:dyDescent="0.35">
      <c r="A46" s="129" t="s">
        <v>351</v>
      </c>
      <c r="B46" s="34">
        <f>'10'!K25+'16'!K88</f>
        <v>-0.27131711793390423</v>
      </c>
      <c r="C46" s="6">
        <v>10.16</v>
      </c>
    </row>
    <row r="47" spans="1:3" x14ac:dyDescent="0.35">
      <c r="A47" s="125" t="s">
        <v>478</v>
      </c>
      <c r="B47" s="34">
        <f>'2'!K8+'14'!K12</f>
        <v>5.4113598210019518</v>
      </c>
      <c r="C47" s="6" t="s">
        <v>510</v>
      </c>
    </row>
    <row r="48" spans="1:3" x14ac:dyDescent="0.35">
      <c r="A48" s="137" t="s">
        <v>569</v>
      </c>
      <c r="B48" s="34">
        <f>'16'!K6+'17'!K12</f>
        <v>-39.735303186507508</v>
      </c>
      <c r="C48" s="6" t="s">
        <v>659</v>
      </c>
    </row>
    <row r="49" spans="1:3" x14ac:dyDescent="0.35">
      <c r="A49" s="129" t="s">
        <v>613</v>
      </c>
      <c r="B49" s="34">
        <f>'16'!K82</f>
        <v>-0.26176048307479505</v>
      </c>
      <c r="C49" s="6">
        <v>16</v>
      </c>
    </row>
    <row r="50" spans="1:3" x14ac:dyDescent="0.35">
      <c r="A50" s="129" t="s">
        <v>490</v>
      </c>
      <c r="B50" s="34">
        <f>'14'!K32+'15'!K6</f>
        <v>0.20879072794321019</v>
      </c>
      <c r="C50" s="6" t="s">
        <v>563</v>
      </c>
    </row>
    <row r="51" spans="1:3" x14ac:dyDescent="0.35">
      <c r="A51" s="129" t="s">
        <v>70</v>
      </c>
      <c r="B51" s="34">
        <f>'3'!K6+'4'!K39+'5'!K9</f>
        <v>1.4198148523973941E-3</v>
      </c>
      <c r="C51" s="6" t="s">
        <v>208</v>
      </c>
    </row>
    <row r="52" spans="1:3" x14ac:dyDescent="0.35">
      <c r="A52" s="129" t="s">
        <v>161</v>
      </c>
      <c r="B52" s="34">
        <f>'4'!K74+'7n'!K22+'10'!K33+'11'!K27</f>
        <v>0.40293986497340484</v>
      </c>
      <c r="C52" s="6" t="s">
        <v>385</v>
      </c>
    </row>
    <row r="53" spans="1:3" x14ac:dyDescent="0.35">
      <c r="A53" s="129" t="s">
        <v>114</v>
      </c>
      <c r="B53" s="34">
        <f>'4'!K7+'5'!K31+'6'!K17</f>
        <v>9.4405335253607063</v>
      </c>
      <c r="C53" s="6" t="s">
        <v>234</v>
      </c>
    </row>
    <row r="54" spans="1:3" x14ac:dyDescent="0.35">
      <c r="A54" s="129" t="s">
        <v>415</v>
      </c>
      <c r="B54" s="34">
        <f>'12'!K35+'13'!K38+'14'!K8+'16'!K14</f>
        <v>12.80067330768793</v>
      </c>
      <c r="C54" s="6" t="s">
        <v>625</v>
      </c>
    </row>
    <row r="55" spans="1:3" x14ac:dyDescent="0.35">
      <c r="A55" s="129" t="s">
        <v>46</v>
      </c>
      <c r="B55" s="34">
        <f>'2'!K32</f>
        <v>2.9856063537904447</v>
      </c>
      <c r="C55" s="6">
        <v>2</v>
      </c>
    </row>
    <row r="56" spans="1:3" x14ac:dyDescent="0.35">
      <c r="A56" s="137" t="s">
        <v>612</v>
      </c>
      <c r="B56" s="34">
        <f>'16'!K80+'17'!K24</f>
        <v>-24.52163137739069</v>
      </c>
      <c r="C56" s="6" t="s">
        <v>659</v>
      </c>
    </row>
    <row r="57" spans="1:3" x14ac:dyDescent="0.35">
      <c r="A57" s="125" t="s">
        <v>462</v>
      </c>
      <c r="B57" s="34">
        <f>'13'!K47</f>
        <v>24.597895717930896</v>
      </c>
      <c r="C57" s="6">
        <v>13</v>
      </c>
    </row>
    <row r="58" spans="1:3" x14ac:dyDescent="0.35">
      <c r="A58" s="125" t="s">
        <v>472</v>
      </c>
      <c r="B58" s="34">
        <f>'14'!K4</f>
        <v>6.9642760114356861</v>
      </c>
      <c r="C58" s="6">
        <v>14</v>
      </c>
    </row>
    <row r="59" spans="1:3" x14ac:dyDescent="0.35">
      <c r="A59" s="137" t="s">
        <v>651</v>
      </c>
      <c r="B59" s="34">
        <f>'17'!K60</f>
        <v>-15.485501554052462</v>
      </c>
      <c r="C59" s="6">
        <v>17</v>
      </c>
    </row>
    <row r="60" spans="1:3" x14ac:dyDescent="0.35">
      <c r="A60" s="129" t="s">
        <v>157</v>
      </c>
      <c r="B60" s="34">
        <f>'4'!K70</f>
        <v>-44.924969011048233</v>
      </c>
      <c r="C60" s="6">
        <v>4</v>
      </c>
    </row>
    <row r="61" spans="1:3" x14ac:dyDescent="0.35">
      <c r="A61" s="129" t="s">
        <v>307</v>
      </c>
      <c r="B61" s="34">
        <f>'9'!K24</f>
        <v>-0.4461356162823904</v>
      </c>
      <c r="C61" s="6">
        <v>9</v>
      </c>
    </row>
    <row r="62" spans="1:3" x14ac:dyDescent="0.35">
      <c r="A62" s="137" t="s">
        <v>399</v>
      </c>
      <c r="B62" s="34">
        <f>'12'!K14+'16'!K72+'17'!K42</f>
        <v>231.87413351827911</v>
      </c>
      <c r="C62" s="6" t="s">
        <v>666</v>
      </c>
    </row>
    <row r="63" spans="1:3" x14ac:dyDescent="0.35">
      <c r="A63" s="129" t="s">
        <v>323</v>
      </c>
      <c r="B63" s="34">
        <f>'9'!K44</f>
        <v>-0.31687810409346184</v>
      </c>
      <c r="C63" s="6">
        <v>9</v>
      </c>
    </row>
    <row r="64" spans="1:3" x14ac:dyDescent="0.35">
      <c r="A64" s="137" t="s">
        <v>638</v>
      </c>
      <c r="B64" s="34">
        <f>'17'!K31</f>
        <v>-10.309014864864821</v>
      </c>
      <c r="C64" s="6">
        <v>17</v>
      </c>
    </row>
    <row r="65" spans="1:5" x14ac:dyDescent="0.35">
      <c r="A65" s="129" t="s">
        <v>192</v>
      </c>
      <c r="B65" s="34">
        <f>'5'!K21+'10'!K15</f>
        <v>200.86276228898441</v>
      </c>
      <c r="C65" s="6" t="s">
        <v>361</v>
      </c>
    </row>
    <row r="66" spans="1:5" x14ac:dyDescent="0.35">
      <c r="A66" s="129" t="s">
        <v>51</v>
      </c>
      <c r="B66" s="34">
        <f>'4'!K19+'2'!K38</f>
        <v>-25.262903624603268</v>
      </c>
      <c r="C66" s="6" t="s">
        <v>173</v>
      </c>
    </row>
    <row r="67" spans="1:5" x14ac:dyDescent="0.35">
      <c r="A67" s="125" t="s">
        <v>196</v>
      </c>
      <c r="B67" s="34">
        <f>'5'!K27+'8'!K9+'9'!K30+'11'!K19+'12'!K4+'13'!K31</f>
        <v>38.61418126058652</v>
      </c>
      <c r="C67" s="6" t="s">
        <v>469</v>
      </c>
    </row>
    <row r="68" spans="1:5" x14ac:dyDescent="0.35">
      <c r="A68" s="129" t="s">
        <v>441</v>
      </c>
      <c r="B68" s="34">
        <f>'13'!K21+'15'!K69+'16'!K90</f>
        <v>-2.6185335044146996E-2</v>
      </c>
      <c r="C68" s="6" t="s">
        <v>624</v>
      </c>
    </row>
    <row r="69" spans="1:5" x14ac:dyDescent="0.35">
      <c r="A69" s="125" t="s">
        <v>417</v>
      </c>
      <c r="B69" s="34">
        <f>'12'!K37</f>
        <v>19.183126273724156</v>
      </c>
      <c r="C69" s="6">
        <v>12</v>
      </c>
    </row>
    <row r="70" spans="1:5" x14ac:dyDescent="0.35">
      <c r="A70" s="137" t="s">
        <v>378</v>
      </c>
      <c r="B70" s="34">
        <f>'6'!K4+'11'!K22+'16'!K57+'17'!K29</f>
        <v>-10.604326256267996</v>
      </c>
      <c r="C70" s="6" t="s">
        <v>665</v>
      </c>
    </row>
    <row r="71" spans="1:5" x14ac:dyDescent="0.35">
      <c r="A71" s="129" t="s">
        <v>615</v>
      </c>
      <c r="B71" s="34">
        <f>'16'!K86</f>
        <v>0.15882634461695488</v>
      </c>
      <c r="C71" s="6">
        <v>16</v>
      </c>
    </row>
    <row r="72" spans="1:5" x14ac:dyDescent="0.35">
      <c r="A72" s="129" t="s">
        <v>499</v>
      </c>
      <c r="B72" s="34">
        <f>'14'!K52+'15'!K20</f>
        <v>-25.024184161565131</v>
      </c>
      <c r="C72" s="6" t="s">
        <v>563</v>
      </c>
    </row>
    <row r="73" spans="1:5" x14ac:dyDescent="0.35">
      <c r="A73" s="129" t="s">
        <v>590</v>
      </c>
      <c r="B73" s="34">
        <f>'16'!K40</f>
        <v>6.3109172308429606E-2</v>
      </c>
      <c r="C73" s="6">
        <v>16</v>
      </c>
    </row>
    <row r="74" spans="1:5" x14ac:dyDescent="0.35">
      <c r="A74" s="129" t="s">
        <v>434</v>
      </c>
      <c r="B74" s="34">
        <f>'13'!K13+'14'!K14+'15'!K24</f>
        <v>-0.17359228886039091</v>
      </c>
      <c r="C74" s="6" t="s">
        <v>564</v>
      </c>
    </row>
    <row r="75" spans="1:5" x14ac:dyDescent="0.35">
      <c r="A75" s="129" t="s">
        <v>303</v>
      </c>
      <c r="B75" s="34">
        <f>'9'!K20</f>
        <v>-3.4623199909219693E-2</v>
      </c>
      <c r="C75" s="6">
        <v>9</v>
      </c>
    </row>
    <row r="76" spans="1:5" x14ac:dyDescent="0.35">
      <c r="A76" s="129" t="s">
        <v>589</v>
      </c>
      <c r="B76" s="34">
        <f>'16'!K36</f>
        <v>-3.2736483074586431E-2</v>
      </c>
      <c r="C76" s="6">
        <v>16</v>
      </c>
    </row>
    <row r="77" spans="1:5" x14ac:dyDescent="0.35">
      <c r="A77" s="137" t="s">
        <v>495</v>
      </c>
      <c r="B77" s="34">
        <f>'14'!K43+'15'!K8+'17'!K16</f>
        <v>-37.212596228552229</v>
      </c>
      <c r="C77" s="6" t="s">
        <v>664</v>
      </c>
    </row>
    <row r="78" spans="1:5" x14ac:dyDescent="0.35">
      <c r="A78" s="129" t="s">
        <v>12</v>
      </c>
      <c r="B78" s="34">
        <f>'3'!K15+'4'!K14+'2'!K35+'8'!K21+'16'!K4</f>
        <v>8.6685857315037538</v>
      </c>
      <c r="C78" s="6" t="s">
        <v>623</v>
      </c>
      <c r="D78" s="100"/>
      <c r="E78" s="100"/>
    </row>
    <row r="79" spans="1:5" x14ac:dyDescent="0.35">
      <c r="A79" s="125" t="s">
        <v>526</v>
      </c>
      <c r="B79" s="34">
        <f>'15'!K26</f>
        <v>29.221493709320612</v>
      </c>
      <c r="C79" s="6">
        <v>15</v>
      </c>
    </row>
    <row r="80" spans="1:5" x14ac:dyDescent="0.35">
      <c r="A80" s="137" t="s">
        <v>609</v>
      </c>
      <c r="B80" s="34">
        <f>'16'!K75+'17'!K54</f>
        <v>0.2068915946274501</v>
      </c>
      <c r="C80" s="6" t="s">
        <v>659</v>
      </c>
    </row>
    <row r="81" spans="1:5" x14ac:dyDescent="0.35">
      <c r="A81" s="129" t="s">
        <v>579</v>
      </c>
      <c r="B81" s="34">
        <f>'16'!K21</f>
        <v>4.7879819878271519</v>
      </c>
      <c r="C81" s="6">
        <v>16</v>
      </c>
    </row>
    <row r="82" spans="1:5" x14ac:dyDescent="0.35">
      <c r="A82" s="125" t="s">
        <v>482</v>
      </c>
      <c r="B82" s="34">
        <f>'14'!K20+'15'!K57</f>
        <v>0.44549800124468675</v>
      </c>
      <c r="C82" s="6" t="s">
        <v>563</v>
      </c>
    </row>
    <row r="83" spans="1:5" x14ac:dyDescent="0.35">
      <c r="A83" s="137" t="s">
        <v>411</v>
      </c>
      <c r="B83" s="34">
        <f>'12'!K27+'14'!K39+'15'!K10+'17'!K10</f>
        <v>2.3284446064091071</v>
      </c>
      <c r="C83" s="6" t="s">
        <v>663</v>
      </c>
      <c r="D83" s="100"/>
      <c r="E83" s="100"/>
    </row>
    <row r="84" spans="1:5" x14ac:dyDescent="0.35">
      <c r="A84" s="9" t="s">
        <v>438</v>
      </c>
      <c r="B84" s="34">
        <f>'13'!K18+'14'!K22+'16'!K54</f>
        <v>-167.85546833053854</v>
      </c>
      <c r="C84" s="6" t="s">
        <v>622</v>
      </c>
    </row>
    <row r="85" spans="1:5" x14ac:dyDescent="0.35">
      <c r="A85" s="129" t="s">
        <v>345</v>
      </c>
      <c r="B85" s="34">
        <f>'10'!K19</f>
        <v>2.1991219976107459</v>
      </c>
      <c r="C85" s="6">
        <v>10</v>
      </c>
      <c r="D85" s="100"/>
      <c r="E85" s="100"/>
    </row>
    <row r="86" spans="1:5" x14ac:dyDescent="0.35">
      <c r="A86" s="129" t="s">
        <v>393</v>
      </c>
      <c r="B86" s="34">
        <f>'12'!K8+'13'!K51+'15'!K12+'16'!K65</f>
        <v>-1.2966496664148508E-2</v>
      </c>
      <c r="C86" s="6" t="s">
        <v>621</v>
      </c>
      <c r="D86" s="100"/>
      <c r="E86" s="100"/>
    </row>
    <row r="87" spans="1:5" x14ac:dyDescent="0.35">
      <c r="A87" s="137" t="s">
        <v>637</v>
      </c>
      <c r="B87" s="34">
        <f>'17'!K27</f>
        <v>-10.15450743243241</v>
      </c>
      <c r="C87" s="6">
        <v>17</v>
      </c>
    </row>
    <row r="88" spans="1:5" x14ac:dyDescent="0.35">
      <c r="A88" s="129" t="s">
        <v>315</v>
      </c>
      <c r="B88" s="34">
        <f>'9'!K34</f>
        <v>-0.33867921533055778</v>
      </c>
      <c r="C88" s="6">
        <v>9</v>
      </c>
      <c r="D88" s="100"/>
      <c r="E88" s="100"/>
    </row>
    <row r="89" spans="1:5" x14ac:dyDescent="0.35">
      <c r="A89" s="129" t="s">
        <v>153</v>
      </c>
      <c r="B89" s="34">
        <f>'4'!K66</f>
        <v>-0.31894233360253565</v>
      </c>
      <c r="C89" s="6">
        <v>4</v>
      </c>
    </row>
    <row r="90" spans="1:5" x14ac:dyDescent="0.35">
      <c r="A90" s="137" t="s">
        <v>534</v>
      </c>
      <c r="B90" s="34">
        <f>'15'!K39+'16'!K19+'17'!K75</f>
        <v>-4.6487551751097271</v>
      </c>
      <c r="C90" s="6" t="s">
        <v>662</v>
      </c>
    </row>
    <row r="91" spans="1:5" x14ac:dyDescent="0.35">
      <c r="A91" s="137" t="s">
        <v>610</v>
      </c>
      <c r="B91" s="34">
        <f>'14'!K46+'16'!K77+'17'!K22</f>
        <v>260.30213130098537</v>
      </c>
      <c r="C91" s="6" t="s">
        <v>661</v>
      </c>
    </row>
    <row r="92" spans="1:5" x14ac:dyDescent="0.35">
      <c r="A92" s="137" t="s">
        <v>633</v>
      </c>
      <c r="B92" s="34">
        <f>'15'!K54+'17'!K18</f>
        <v>-24.126475344733421</v>
      </c>
      <c r="C92" s="6" t="s">
        <v>660</v>
      </c>
    </row>
    <row r="93" spans="1:5" x14ac:dyDescent="0.35">
      <c r="A93" s="137" t="s">
        <v>645</v>
      </c>
      <c r="B93" s="34">
        <f>'17'!K48</f>
        <v>-14.466521694015228</v>
      </c>
      <c r="C93" s="6">
        <v>17</v>
      </c>
    </row>
    <row r="94" spans="1:5" x14ac:dyDescent="0.35">
      <c r="A94" s="125" t="s">
        <v>553</v>
      </c>
      <c r="B94" s="34">
        <f>'15'!K61</f>
        <v>-0.38351719216370839</v>
      </c>
      <c r="C94" s="6">
        <v>15</v>
      </c>
    </row>
    <row r="95" spans="1:5" x14ac:dyDescent="0.35">
      <c r="A95" s="125" t="s">
        <v>476</v>
      </c>
      <c r="B95" s="34">
        <f>'14'!K10</f>
        <v>-0.10499683603757148</v>
      </c>
      <c r="C95" s="6">
        <v>14</v>
      </c>
    </row>
    <row r="96" spans="1:5" x14ac:dyDescent="0.35">
      <c r="A96" s="137" t="s">
        <v>614</v>
      </c>
      <c r="B96" s="34">
        <f>'16'!K84+'17'!K20</f>
        <v>-8.2557947702478032</v>
      </c>
      <c r="C96" s="6" t="s">
        <v>659</v>
      </c>
    </row>
    <row r="97" spans="1:3" x14ac:dyDescent="0.35">
      <c r="A97" s="125" t="s">
        <v>432</v>
      </c>
      <c r="B97" s="34">
        <f>'13'!K10+'14'!K35</f>
        <v>11.487939710014416</v>
      </c>
      <c r="C97" s="6" t="s">
        <v>507</v>
      </c>
    </row>
    <row r="98" spans="1:3" x14ac:dyDescent="0.35">
      <c r="A98" s="129" t="s">
        <v>85</v>
      </c>
      <c r="B98" s="34">
        <f>'3'!K26+'4'!K64+'6'!K25+'7n'!K16</f>
        <v>-0.39478098394704375</v>
      </c>
      <c r="C98" s="6" t="s">
        <v>266</v>
      </c>
    </row>
    <row r="99" spans="1:3" x14ac:dyDescent="0.35">
      <c r="A99" s="129" t="s">
        <v>364</v>
      </c>
      <c r="B99" s="34">
        <f>'11'!K4</f>
        <v>0.20821044310650905</v>
      </c>
      <c r="C99" s="6">
        <v>11</v>
      </c>
    </row>
    <row r="100" spans="1:3" x14ac:dyDescent="0.35">
      <c r="A100" s="129" t="s">
        <v>180</v>
      </c>
      <c r="B100" s="34">
        <f>'5'!K7</f>
        <v>-0.47683953163289061</v>
      </c>
      <c r="C100" s="6">
        <v>5</v>
      </c>
    </row>
    <row r="101" spans="1:3" x14ac:dyDescent="0.35">
      <c r="A101" s="129" t="s">
        <v>239</v>
      </c>
      <c r="B101" s="34">
        <f>'7n'!K4+'8'!K26</f>
        <v>0.23651123391709916</v>
      </c>
      <c r="C101" s="6" t="s">
        <v>286</v>
      </c>
    </row>
    <row r="102" spans="1:3" x14ac:dyDescent="0.35">
      <c r="A102" s="129" t="s">
        <v>595</v>
      </c>
      <c r="B102" s="34">
        <f>'16'!K47</f>
        <v>0.25093055077559256</v>
      </c>
      <c r="C102" s="6">
        <v>16</v>
      </c>
    </row>
    <row r="103" spans="1:3" x14ac:dyDescent="0.35">
      <c r="A103" s="129" t="s">
        <v>597</v>
      </c>
      <c r="B103" s="34">
        <f>'15'!K32+'16'!K50</f>
        <v>-0.47954160144558955</v>
      </c>
      <c r="C103" s="6" t="s">
        <v>620</v>
      </c>
    </row>
    <row r="104" spans="1:3" x14ac:dyDescent="0.35">
      <c r="A104" s="129" t="s">
        <v>292</v>
      </c>
      <c r="B104" s="34">
        <f>'9'!K7</f>
        <v>-0.17658169860533235</v>
      </c>
      <c r="C104" s="6">
        <v>9</v>
      </c>
    </row>
    <row r="105" spans="1:3" x14ac:dyDescent="0.35">
      <c r="A105" s="129" t="s">
        <v>501</v>
      </c>
      <c r="B105" s="34">
        <f>'14'!K56</f>
        <v>549.64392800185487</v>
      </c>
      <c r="C105" s="6">
        <v>14</v>
      </c>
    </row>
    <row r="106" spans="1:3" x14ac:dyDescent="0.35">
      <c r="A106" s="129" t="s">
        <v>68</v>
      </c>
      <c r="B106" s="34">
        <f>'3'!K4+'4'!K21+'7n'!K8+'9'!K55+'10'!K27+'11'!K25+'16'!K52</f>
        <v>-0.34649197452938552</v>
      </c>
      <c r="C106" s="6" t="s">
        <v>619</v>
      </c>
    </row>
    <row r="107" spans="1:3" x14ac:dyDescent="0.35">
      <c r="A107" s="129" t="s">
        <v>581</v>
      </c>
      <c r="B107" s="34">
        <f>'16'!K23</f>
        <v>0.26682586154220189</v>
      </c>
      <c r="C107" s="6">
        <v>16</v>
      </c>
    </row>
    <row r="108" spans="1:3" x14ac:dyDescent="0.35">
      <c r="A108" s="129" t="s">
        <v>592</v>
      </c>
      <c r="B108" s="34">
        <f>'14'!K49+'15'!K22+'16'!K42</f>
        <v>-0.3943810209283356</v>
      </c>
      <c r="C108" s="6" t="s">
        <v>618</v>
      </c>
    </row>
    <row r="109" spans="1:3" x14ac:dyDescent="0.35">
      <c r="A109" s="137" t="s">
        <v>643</v>
      </c>
      <c r="B109" s="34">
        <f>'17'!K45</f>
        <v>-26.676227818532652</v>
      </c>
      <c r="C109" s="6">
        <v>17</v>
      </c>
    </row>
    <row r="110" spans="1:3" x14ac:dyDescent="0.35">
      <c r="A110" s="125" t="s">
        <v>488</v>
      </c>
      <c r="B110" s="34">
        <f>'14'!K29</f>
        <v>4.8741311639623746</v>
      </c>
      <c r="C110" s="6">
        <v>14</v>
      </c>
    </row>
    <row r="111" spans="1:3" x14ac:dyDescent="0.35">
      <c r="A111" s="129" t="s">
        <v>298</v>
      </c>
      <c r="B111" s="34">
        <f>'9'!K14</f>
        <v>0.44137680009089308</v>
      </c>
      <c r="C111" s="6">
        <v>9</v>
      </c>
    </row>
    <row r="112" spans="1:3" x14ac:dyDescent="0.35">
      <c r="A112" s="125" t="s">
        <v>540</v>
      </c>
      <c r="B112" s="34">
        <f>'15'!K48</f>
        <v>0.40316741864126016</v>
      </c>
      <c r="C112" s="6">
        <v>15</v>
      </c>
    </row>
    <row r="113" spans="1:3" x14ac:dyDescent="0.35">
      <c r="A113" s="125" t="s">
        <v>412</v>
      </c>
      <c r="B113" s="34">
        <f>'12'!K30+'13'!K35+'14'!K6</f>
        <v>1.8997636812342762</v>
      </c>
      <c r="C113" s="6" t="s">
        <v>508</v>
      </c>
    </row>
    <row r="114" spans="1:3" x14ac:dyDescent="0.35">
      <c r="A114" s="125" t="s">
        <v>529</v>
      </c>
      <c r="B114" s="34">
        <f>'15'!K34</f>
        <v>0.34825370932060196</v>
      </c>
      <c r="C114" s="6">
        <v>15</v>
      </c>
    </row>
    <row r="115" spans="1:3" x14ac:dyDescent="0.35">
      <c r="A115" s="129" t="s">
        <v>35</v>
      </c>
      <c r="B115" s="34">
        <f>'2'!K19</f>
        <v>9.6842599277806585E-2</v>
      </c>
      <c r="C115" s="6">
        <v>2</v>
      </c>
    </row>
    <row r="116" spans="1:3" x14ac:dyDescent="0.35">
      <c r="A116" s="129" t="s">
        <v>601</v>
      </c>
      <c r="B116" s="34">
        <f>'16'!K61</f>
        <v>0.32134634461692713</v>
      </c>
      <c r="C116" s="6">
        <v>16</v>
      </c>
    </row>
    <row r="117" spans="1:3" x14ac:dyDescent="0.35">
      <c r="A117" s="129" t="s">
        <v>177</v>
      </c>
      <c r="B117" s="34">
        <f>'5'!K4</f>
        <v>8.6885068531046272E-2</v>
      </c>
      <c r="C117" s="6">
        <v>5</v>
      </c>
    </row>
    <row r="118" spans="1:3" x14ac:dyDescent="0.35">
      <c r="A118" s="129" t="s">
        <v>31</v>
      </c>
      <c r="B118" s="34">
        <f>'2'!K15</f>
        <v>-0.41264548736489814</v>
      </c>
      <c r="C118" s="6">
        <v>2</v>
      </c>
    </row>
    <row r="119" spans="1:3" x14ac:dyDescent="0.35">
      <c r="A119" s="129" t="s">
        <v>247</v>
      </c>
      <c r="B119" s="34">
        <f>'7n'!K12</f>
        <v>0.43503569741551473</v>
      </c>
      <c r="C119" s="6">
        <v>7</v>
      </c>
    </row>
    <row r="120" spans="1:3" x14ac:dyDescent="0.35">
      <c r="A120" s="125" t="s">
        <v>539</v>
      </c>
      <c r="B120" s="34">
        <f>'15'!K45</f>
        <v>0.47236056398082837</v>
      </c>
      <c r="C120" s="6">
        <v>15</v>
      </c>
    </row>
    <row r="121" spans="1:3" x14ac:dyDescent="0.35">
      <c r="A121" s="125" t="s">
        <v>324</v>
      </c>
      <c r="B121" s="34">
        <f>'9'!K46+'11'!K29+'15'!K4</f>
        <v>0.4791881582195856</v>
      </c>
      <c r="C121" s="6" t="s">
        <v>565</v>
      </c>
    </row>
    <row r="122" spans="1:3" x14ac:dyDescent="0.35">
      <c r="A122" s="129" t="s">
        <v>262</v>
      </c>
      <c r="B122" s="34">
        <f>'7n'!K31</f>
        <v>0.39930327282547751</v>
      </c>
      <c r="C122" s="6">
        <v>7</v>
      </c>
    </row>
    <row r="123" spans="1:3" x14ac:dyDescent="0.35">
      <c r="A123" s="137" t="s">
        <v>642</v>
      </c>
      <c r="B123" s="34">
        <f>'17'!K40</f>
        <v>-13.525950289575263</v>
      </c>
      <c r="C123" s="6">
        <v>17</v>
      </c>
    </row>
    <row r="124" spans="1:3" x14ac:dyDescent="0.35">
      <c r="A124" s="137" t="s">
        <v>635</v>
      </c>
      <c r="B124" s="34">
        <f>'17'!K35</f>
        <v>-19.597975979729654</v>
      </c>
      <c r="C124" s="6">
        <v>17</v>
      </c>
    </row>
    <row r="125" spans="1:3" x14ac:dyDescent="0.35">
      <c r="A125" s="137" t="s">
        <v>460</v>
      </c>
      <c r="B125" s="34">
        <f>'13'!K45+'17'!K14</f>
        <v>-37.862875579692286</v>
      </c>
      <c r="C125" s="6" t="s">
        <v>658</v>
      </c>
    </row>
    <row r="126" spans="1:3" x14ac:dyDescent="0.35">
      <c r="A126" s="129" t="s">
        <v>230</v>
      </c>
      <c r="B126" s="34">
        <f>'6'!K30+'9'!K49</f>
        <v>-7.7019570843958718E-2</v>
      </c>
      <c r="C126" s="6">
        <v>6.9</v>
      </c>
    </row>
    <row r="127" spans="1:3" x14ac:dyDescent="0.35">
      <c r="A127" s="137" t="s">
        <v>656</v>
      </c>
      <c r="B127" s="34">
        <f>'17'!K78</f>
        <v>-21.231409054053984</v>
      </c>
      <c r="C127" s="6">
        <v>17</v>
      </c>
    </row>
    <row r="128" spans="1:3" x14ac:dyDescent="0.35">
      <c r="A128" s="129" t="s">
        <v>81</v>
      </c>
      <c r="B128" s="34">
        <f>'3'!K18</f>
        <v>116.85769585253456</v>
      </c>
      <c r="C128" s="6">
        <v>3</v>
      </c>
    </row>
    <row r="129" spans="1:3" x14ac:dyDescent="0.35">
      <c r="A129" s="129" t="s">
        <v>296</v>
      </c>
      <c r="B129" s="34">
        <f>'9'!K12</f>
        <v>0.48790588502106402</v>
      </c>
      <c r="C129" s="6">
        <v>9</v>
      </c>
    </row>
    <row r="130" spans="1:3" x14ac:dyDescent="0.35">
      <c r="A130" s="129" t="s">
        <v>429</v>
      </c>
      <c r="B130" s="34">
        <f>'13'!K6</f>
        <v>-6.6377807207144315</v>
      </c>
      <c r="C130" s="6">
        <v>13</v>
      </c>
    </row>
  </sheetData>
  <sortState ref="A2:E195">
    <sortCondition ref="A2:A19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290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291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293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294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295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297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35">
      <c r="A15" s="91" t="s">
        <v>299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300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35">
      <c r="A18" s="91" t="s">
        <v>301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302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3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3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3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3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x14ac:dyDescent="0.3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3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3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3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3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318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29" x14ac:dyDescent="0.3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x14ac:dyDescent="0.3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3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300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3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3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335</v>
      </c>
    </row>
    <row r="56" spans="1:12" ht="29" x14ac:dyDescent="0.35">
      <c r="A56" s="68" t="s">
        <v>328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3.5" x14ac:dyDescent="0.35">
      <c r="A57" s="18" t="s">
        <v>329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142" t="s">
        <v>210</v>
      </c>
      <c r="B62" s="143"/>
      <c r="C62" s="143"/>
      <c r="D62" s="143"/>
      <c r="E62" s="143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7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8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8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3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8" t="s">
        <v>339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8" t="s">
        <v>340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35">
      <c r="A13" s="108" t="s">
        <v>341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35">
      <c r="A14" s="108" t="s">
        <v>342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3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8" t="s">
        <v>343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35">
      <c r="A17" s="108" t="s">
        <v>344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35">
      <c r="A18" s="108" t="s">
        <v>360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35">
      <c r="A19" s="107" t="s">
        <v>345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8" t="s">
        <v>346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7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8" t="s">
        <v>348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7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1" t="s">
        <v>350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7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1" t="s">
        <v>352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8" t="s">
        <v>353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8" t="s">
        <v>354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7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35">
      <c r="A31" s="108" t="s">
        <v>337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8" t="s">
        <v>356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357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358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144" t="s">
        <v>359</v>
      </c>
      <c r="B40" s="145"/>
      <c r="C40" s="145"/>
      <c r="D40" s="145"/>
      <c r="E40" s="145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3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3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3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3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376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377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35">
      <c r="A23" s="3" t="s">
        <v>379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380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381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35">
      <c r="A30" s="3" t="s">
        <v>383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42" t="s">
        <v>210</v>
      </c>
      <c r="B35" s="143"/>
      <c r="C35" s="143"/>
      <c r="D35" s="143"/>
      <c r="E35" s="143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289</v>
      </c>
      <c r="K1" s="117">
        <v>42915</v>
      </c>
    </row>
    <row r="2" spans="1:12" ht="21" x14ac:dyDescent="0.5">
      <c r="A2" s="8" t="s">
        <v>267</v>
      </c>
    </row>
    <row r="3" spans="1:12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425</v>
      </c>
    </row>
    <row r="6" spans="1:12" x14ac:dyDescent="0.3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3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3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3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3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3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427</v>
      </c>
    </row>
    <row r="15" spans="1:12" x14ac:dyDescent="0.35">
      <c r="A15" s="113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35">
      <c r="A16" s="113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35">
      <c r="A17" s="113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35">
      <c r="A18" s="113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425</v>
      </c>
    </row>
    <row r="21" spans="1:12" x14ac:dyDescent="0.3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425</v>
      </c>
    </row>
    <row r="22" spans="1:12" x14ac:dyDescent="0.3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425</v>
      </c>
    </row>
    <row r="23" spans="1:12" x14ac:dyDescent="0.3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3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35">
      <c r="A25" s="113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3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3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3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3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3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3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406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426</v>
      </c>
    </row>
    <row r="35" spans="1:12" x14ac:dyDescent="0.3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416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421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42" t="s">
        <v>387</v>
      </c>
      <c r="B50" s="143"/>
      <c r="C50" s="143"/>
      <c r="D50" s="143"/>
      <c r="E50" s="143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7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470</v>
      </c>
    </row>
    <row r="5" spans="1:13" x14ac:dyDescent="0.35">
      <c r="A5" s="98" t="s">
        <v>428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35">
      <c r="A6" s="9" t="s">
        <v>429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470</v>
      </c>
    </row>
    <row r="7" spans="1:13" x14ac:dyDescent="0.35">
      <c r="A7" s="98" t="s">
        <v>430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35">
      <c r="A8" s="9" t="s">
        <v>431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470</v>
      </c>
    </row>
    <row r="9" spans="1:13" x14ac:dyDescent="0.35">
      <c r="A9" s="98" t="s">
        <v>430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35">
      <c r="A10" s="9" t="s">
        <v>432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470</v>
      </c>
    </row>
    <row r="11" spans="1:13" x14ac:dyDescent="0.35">
      <c r="A11" s="98" t="s">
        <v>433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35">
      <c r="A12" s="3" t="s">
        <v>466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35">
      <c r="A13" s="9" t="s">
        <v>434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470</v>
      </c>
    </row>
    <row r="14" spans="1:13" x14ac:dyDescent="0.35">
      <c r="A14" s="3" t="s">
        <v>435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35">
      <c r="A15" s="9" t="s">
        <v>436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437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470</v>
      </c>
    </row>
    <row r="17" spans="1:13" x14ac:dyDescent="0.35">
      <c r="A17" s="3" t="s">
        <v>435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470</v>
      </c>
    </row>
    <row r="18" spans="1:13" x14ac:dyDescent="0.35">
      <c r="A18" s="9" t="s">
        <v>438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471</v>
      </c>
    </row>
    <row r="19" spans="1:13" x14ac:dyDescent="0.35">
      <c r="A19" s="3" t="s">
        <v>439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35">
      <c r="A20" s="98" t="s">
        <v>440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35">
      <c r="A21" s="9" t="s">
        <v>441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442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471</v>
      </c>
    </row>
    <row r="23" spans="1:13" x14ac:dyDescent="0.35">
      <c r="A23" s="98" t="s">
        <v>443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470</v>
      </c>
    </row>
    <row r="24" spans="1:13" x14ac:dyDescent="0.35">
      <c r="A24" s="9" t="s">
        <v>444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470</v>
      </c>
    </row>
    <row r="25" spans="1:13" x14ac:dyDescent="0.35">
      <c r="A25" s="98" t="s">
        <v>445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35">
      <c r="A26" s="98" t="s">
        <v>446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35">
      <c r="A27" s="9" t="s">
        <v>447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445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470</v>
      </c>
    </row>
    <row r="29" spans="1:13" x14ac:dyDescent="0.35">
      <c r="A29" s="98" t="s">
        <v>446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470</v>
      </c>
    </row>
    <row r="30" spans="1:13" x14ac:dyDescent="0.35">
      <c r="A30" s="98" t="s">
        <v>448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8" t="s">
        <v>449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35">
      <c r="A33" s="98" t="s">
        <v>450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35">
      <c r="A34" s="98" t="s">
        <v>451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35">
      <c r="A35" s="9" t="s">
        <v>412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3" t="s">
        <v>452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35">
      <c r="A37" s="3" t="s">
        <v>453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35">
      <c r="A38" s="9" t="s">
        <v>415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454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29" x14ac:dyDescent="0.35">
      <c r="A40" s="18" t="s">
        <v>455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29" x14ac:dyDescent="0.35">
      <c r="A41" s="18" t="s">
        <v>456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35">
      <c r="A42" s="3" t="s">
        <v>457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35">
      <c r="A43" s="3" t="s">
        <v>458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35">
      <c r="A44" s="98" t="s">
        <v>459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35">
      <c r="A45" s="9" t="s">
        <v>460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8" t="s">
        <v>461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35">
      <c r="A47" s="9" t="s">
        <v>462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8" t="s">
        <v>463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35">
      <c r="A49" s="98" t="s">
        <v>464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35">
      <c r="A50" s="98" t="s">
        <v>465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35">
      <c r="A51" s="9" t="s">
        <v>393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8" t="s">
        <v>467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35">
      <c r="A53" s="98" t="s">
        <v>468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35">
      <c r="A54" s="98" t="s">
        <v>459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35">
      <c r="A55" s="98" t="s">
        <v>433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471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7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35">
      <c r="A4" s="9" t="s">
        <v>472</v>
      </c>
      <c r="B4" s="9"/>
      <c r="C4" s="9"/>
      <c r="D4" s="84"/>
      <c r="E4" s="9"/>
      <c r="F4" s="10"/>
      <c r="G4" s="10"/>
      <c r="H4" s="123"/>
      <c r="I4" s="121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473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3"/>
      <c r="I5" s="124">
        <f>H5-G5</f>
        <v>-881.03572398856431</v>
      </c>
      <c r="J5" s="6"/>
      <c r="K5" s="3"/>
      <c r="L5" s="3"/>
    </row>
    <row r="6" spans="1:13" x14ac:dyDescent="0.35">
      <c r="A6" s="9" t="s">
        <v>412</v>
      </c>
      <c r="B6" s="9"/>
      <c r="C6" s="9"/>
      <c r="D6" s="9"/>
      <c r="E6" s="9"/>
      <c r="F6" s="9"/>
      <c r="G6" s="9"/>
      <c r="H6" s="123"/>
      <c r="I6" s="121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474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3"/>
      <c r="I7" s="124">
        <f t="shared" ref="I7:I70" si="3">H7-G7</f>
        <v>-704.84772639313849</v>
      </c>
      <c r="J7" s="6"/>
      <c r="K7" s="3"/>
      <c r="L7" s="3"/>
    </row>
    <row r="8" spans="1:13" x14ac:dyDescent="0.35">
      <c r="A8" s="9" t="s">
        <v>415</v>
      </c>
      <c r="B8" s="9"/>
      <c r="C8" s="9"/>
      <c r="D8" s="9"/>
      <c r="E8" s="9"/>
      <c r="F8" s="9"/>
      <c r="G8" s="9"/>
      <c r="H8" s="123"/>
      <c r="I8" s="121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475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3"/>
      <c r="I9" s="124">
        <f t="shared" si="3"/>
        <v>-1090.6197867485705</v>
      </c>
      <c r="J9" s="6"/>
      <c r="K9" s="3"/>
      <c r="L9" s="3"/>
    </row>
    <row r="10" spans="1:13" x14ac:dyDescent="0.35">
      <c r="A10" s="9" t="s">
        <v>476</v>
      </c>
      <c r="B10" s="9"/>
      <c r="C10" s="9"/>
      <c r="D10" s="9"/>
      <c r="E10" s="9"/>
      <c r="F10" s="9"/>
      <c r="G10" s="9"/>
      <c r="H10" s="123"/>
      <c r="I10" s="121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514</v>
      </c>
    </row>
    <row r="11" spans="1:13" x14ac:dyDescent="0.35">
      <c r="A11" s="98" t="s">
        <v>477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3"/>
      <c r="I11" s="124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478</v>
      </c>
      <c r="B12" s="9"/>
      <c r="C12" s="9"/>
      <c r="D12" s="9"/>
      <c r="E12" s="9"/>
      <c r="F12" s="9"/>
      <c r="G12" s="9"/>
      <c r="H12" s="9"/>
      <c r="I12" s="121">
        <f>I13</f>
        <v>-564.18947483603768</v>
      </c>
      <c r="J12" s="131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479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3"/>
      <c r="I13" s="124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434</v>
      </c>
      <c r="B14" s="9"/>
      <c r="C14" s="9"/>
      <c r="D14" s="9"/>
      <c r="E14" s="9"/>
      <c r="F14" s="9"/>
      <c r="G14" s="9"/>
      <c r="H14" s="9"/>
      <c r="I14" s="121">
        <f>I15</f>
        <v>-564.18947483603768</v>
      </c>
      <c r="J14" s="131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479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3"/>
      <c r="I15" s="124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480</v>
      </c>
      <c r="B16" s="9"/>
      <c r="C16" s="9"/>
      <c r="D16" s="9"/>
      <c r="E16" s="9"/>
      <c r="F16" s="9"/>
      <c r="G16" s="9"/>
      <c r="H16" s="9"/>
      <c r="I16" s="121">
        <f>I17</f>
        <v>-297.03113141801884</v>
      </c>
      <c r="J16" s="131">
        <v>301.33</v>
      </c>
      <c r="K16" s="38">
        <f>J16+I16</f>
        <v>4.2988685819811394</v>
      </c>
      <c r="L16" s="3"/>
    </row>
    <row r="17" spans="1:12" x14ac:dyDescent="0.35">
      <c r="A17" s="3" t="s">
        <v>481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3"/>
      <c r="I17" s="124">
        <f t="shared" si="3"/>
        <v>-297.03113141801884</v>
      </c>
      <c r="J17" s="6"/>
      <c r="K17" s="6"/>
      <c r="L17" s="3" t="s">
        <v>513</v>
      </c>
    </row>
    <row r="18" spans="1:12" x14ac:dyDescent="0.35">
      <c r="A18" s="9" t="s">
        <v>431</v>
      </c>
      <c r="B18" s="9"/>
      <c r="C18" s="9"/>
      <c r="D18" s="9"/>
      <c r="E18" s="9"/>
      <c r="F18" s="9"/>
      <c r="G18" s="9"/>
      <c r="H18" s="9"/>
      <c r="I18" s="121">
        <f>I19</f>
        <v>-297.03113141801884</v>
      </c>
      <c r="J18" s="131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481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3"/>
      <c r="I19" s="124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482</v>
      </c>
      <c r="B20" s="9"/>
      <c r="C20" s="9"/>
      <c r="D20" s="9"/>
      <c r="E20" s="9"/>
      <c r="F20" s="9"/>
      <c r="G20" s="9"/>
      <c r="H20" s="9"/>
      <c r="I20" s="121">
        <f>I21</f>
        <v>-573.10499683603757</v>
      </c>
      <c r="J20" s="131">
        <v>582</v>
      </c>
      <c r="K20" s="38">
        <f>J20+I20-L21</f>
        <v>-1.1049968360375715</v>
      </c>
      <c r="L20" s="3"/>
    </row>
    <row r="21" spans="1:12" x14ac:dyDescent="0.35">
      <c r="A21" s="98" t="s">
        <v>477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3"/>
      <c r="I21" s="124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483</v>
      </c>
      <c r="B22" s="9"/>
      <c r="C22" s="9"/>
      <c r="D22" s="9"/>
      <c r="E22" s="9"/>
      <c r="F22" s="9"/>
      <c r="G22" s="9"/>
      <c r="H22" s="9"/>
      <c r="I22" s="121">
        <f>I23</f>
        <v>-891.09339425405642</v>
      </c>
      <c r="J22" s="131">
        <v>883</v>
      </c>
      <c r="K22" s="38">
        <f>J22+I22</f>
        <v>-8.0933942540564203</v>
      </c>
      <c r="L22" s="3"/>
    </row>
    <row r="23" spans="1:12" x14ac:dyDescent="0.35">
      <c r="A23" s="3" t="s">
        <v>484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3"/>
      <c r="I23" s="124">
        <f t="shared" si="3"/>
        <v>-891.09339425405642</v>
      </c>
      <c r="J23" s="6"/>
      <c r="K23" s="6"/>
      <c r="L23" s="3" t="s">
        <v>513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-1042.4657376720752</v>
      </c>
      <c r="J24" s="131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485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3"/>
      <c r="I25" s="124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486</v>
      </c>
      <c r="B26" s="9"/>
      <c r="C26" s="9"/>
      <c r="D26" s="9"/>
      <c r="E26" s="9"/>
      <c r="F26" s="9"/>
      <c r="G26" s="9"/>
      <c r="H26" s="9"/>
      <c r="I26" s="121">
        <f>I27+I28</f>
        <v>-583.58362983603763</v>
      </c>
      <c r="J26" s="131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481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3"/>
      <c r="I27" s="124">
        <f t="shared" si="3"/>
        <v>-297.03113141801884</v>
      </c>
      <c r="J27" s="6"/>
      <c r="K27" s="6"/>
      <c r="L27" s="3">
        <v>18.5</v>
      </c>
    </row>
    <row r="28" spans="1:12" x14ac:dyDescent="0.35">
      <c r="A28" s="98" t="s">
        <v>487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3"/>
      <c r="I28" s="124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488</v>
      </c>
      <c r="B29" s="9"/>
      <c r="C29" s="9"/>
      <c r="D29" s="9"/>
      <c r="E29" s="9"/>
      <c r="F29" s="9"/>
      <c r="G29" s="9"/>
      <c r="H29" s="9"/>
      <c r="I29" s="121">
        <f>I30+I31</f>
        <v>-579.12586883603763</v>
      </c>
      <c r="J29" s="131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481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3"/>
      <c r="I30" s="124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489</v>
      </c>
      <c r="B31" s="125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3"/>
      <c r="I31" s="124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490</v>
      </c>
      <c r="B32" s="9"/>
      <c r="C32" s="9"/>
      <c r="D32" s="9"/>
      <c r="E32" s="9"/>
      <c r="F32" s="9"/>
      <c r="G32" s="9"/>
      <c r="H32" s="9"/>
      <c r="I32" s="121">
        <f>I33+I34</f>
        <v>-583.58362983603763</v>
      </c>
      <c r="J32" s="131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481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3"/>
      <c r="I33" s="124">
        <f t="shared" si="3"/>
        <v>-297.03113141801884</v>
      </c>
      <c r="J33" s="6"/>
      <c r="K33" s="6"/>
      <c r="L33" s="3">
        <v>18.5</v>
      </c>
    </row>
    <row r="34" spans="1:12" x14ac:dyDescent="0.35">
      <c r="A34" s="98" t="s">
        <v>487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3"/>
      <c r="I34" s="124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432</v>
      </c>
      <c r="B35" s="9"/>
      <c r="C35" s="9"/>
      <c r="D35" s="9"/>
      <c r="E35" s="9"/>
      <c r="F35" s="9"/>
      <c r="G35" s="9"/>
      <c r="H35" s="9"/>
      <c r="I35" s="121">
        <f>SUM(I36:I38)</f>
        <v>-2211.6239127346621</v>
      </c>
      <c r="J35" s="131">
        <v>2222</v>
      </c>
      <c r="K35" s="38">
        <f>J35+I35-L36-L37</f>
        <v>0.37608726533790104</v>
      </c>
      <c r="L35" s="3"/>
    </row>
    <row r="36" spans="1:12" x14ac:dyDescent="0.35">
      <c r="A36" s="3" t="s">
        <v>491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3"/>
      <c r="I36" s="124">
        <f t="shared" si="3"/>
        <v>-810.87624964456802</v>
      </c>
      <c r="J36" s="6"/>
      <c r="K36" s="6"/>
      <c r="L36" s="3"/>
    </row>
    <row r="37" spans="1:12" x14ac:dyDescent="0.35">
      <c r="A37" s="3" t="s">
        <v>492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3"/>
      <c r="I37" s="124">
        <f t="shared" si="3"/>
        <v>-594.06226283603769</v>
      </c>
      <c r="J37" s="6"/>
      <c r="K37" s="6"/>
      <c r="L37" s="3">
        <v>10</v>
      </c>
    </row>
    <row r="38" spans="1:12" x14ac:dyDescent="0.35">
      <c r="A38" s="113" t="s">
        <v>493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3"/>
      <c r="I38" s="124">
        <f t="shared" si="3"/>
        <v>-806.68540025405639</v>
      </c>
      <c r="J38" s="6"/>
      <c r="K38" s="6"/>
      <c r="L38" s="3" t="s">
        <v>513</v>
      </c>
    </row>
    <row r="39" spans="1:12" x14ac:dyDescent="0.35">
      <c r="A39" s="9" t="s">
        <v>411</v>
      </c>
      <c r="B39" s="9"/>
      <c r="C39" s="9"/>
      <c r="D39" s="9"/>
      <c r="E39" s="9"/>
      <c r="F39" s="9"/>
      <c r="G39" s="9"/>
      <c r="H39" s="9"/>
      <c r="I39" s="121">
        <f>SUM(I40:I42)</f>
        <v>-1593.4556085081128</v>
      </c>
      <c r="J39" s="131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489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3"/>
      <c r="I40" s="124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485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3"/>
      <c r="I41" s="124">
        <f t="shared" si="3"/>
        <v>-1042.4657376720752</v>
      </c>
      <c r="J41" s="6"/>
      <c r="K41" s="6"/>
      <c r="L41" s="3" t="s">
        <v>513</v>
      </c>
    </row>
    <row r="42" spans="1:12" x14ac:dyDescent="0.35">
      <c r="A42" s="113" t="s">
        <v>494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3"/>
      <c r="I42" s="124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495</v>
      </c>
      <c r="B43" s="9"/>
      <c r="C43" s="9"/>
      <c r="D43" s="9"/>
      <c r="E43" s="9"/>
      <c r="F43" s="9"/>
      <c r="G43" s="9"/>
      <c r="H43" s="9"/>
      <c r="I43" s="121">
        <f>I44+I45</f>
        <v>-1137.2944716720754</v>
      </c>
      <c r="J43" s="131">
        <f>974+185</f>
        <v>1159</v>
      </c>
      <c r="K43" s="38">
        <f>J43+I43</f>
        <v>21.70552832792464</v>
      </c>
      <c r="L43" s="3"/>
    </row>
    <row r="44" spans="1:12" x14ac:dyDescent="0.35">
      <c r="A44" s="98" t="s">
        <v>477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3"/>
      <c r="I44" s="124">
        <f t="shared" si="3"/>
        <v>-573.10499683603757</v>
      </c>
      <c r="J44" s="6"/>
      <c r="K44" s="3"/>
      <c r="L44" s="3" t="s">
        <v>513</v>
      </c>
    </row>
    <row r="45" spans="1:12" x14ac:dyDescent="0.35">
      <c r="A45" s="3" t="s">
        <v>479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3"/>
      <c r="I45" s="124">
        <f t="shared" si="3"/>
        <v>-564.18947483603768</v>
      </c>
      <c r="J45" s="6"/>
      <c r="K45" s="6"/>
      <c r="L45" s="3" t="s">
        <v>513</v>
      </c>
    </row>
    <row r="46" spans="1:12" x14ac:dyDescent="0.35">
      <c r="A46" s="9" t="s">
        <v>496</v>
      </c>
      <c r="B46" s="9"/>
      <c r="C46" s="9"/>
      <c r="D46" s="9"/>
      <c r="E46" s="9"/>
      <c r="F46" s="9"/>
      <c r="G46" s="9"/>
      <c r="H46" s="9"/>
      <c r="I46" s="121">
        <f>I47+I48</f>
        <v>-842.00013025405633</v>
      </c>
      <c r="J46" s="131">
        <f>855+23</f>
        <v>878</v>
      </c>
      <c r="K46" s="38">
        <f>J46+I46-L47-L48</f>
        <v>7.4998697459436698</v>
      </c>
      <c r="L46" s="3"/>
    </row>
    <row r="47" spans="1:12" x14ac:dyDescent="0.35">
      <c r="A47" s="98" t="s">
        <v>477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3"/>
      <c r="I47" s="124">
        <f t="shared" si="3"/>
        <v>-573.10499683603757</v>
      </c>
      <c r="J47" s="6"/>
      <c r="K47" s="6"/>
      <c r="L47" s="3">
        <v>10</v>
      </c>
    </row>
    <row r="48" spans="1:12" x14ac:dyDescent="0.35">
      <c r="A48" s="113" t="s">
        <v>494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3"/>
      <c r="I48" s="124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497</v>
      </c>
      <c r="B49" s="9"/>
      <c r="C49" s="9"/>
      <c r="D49" s="9"/>
      <c r="E49" s="9"/>
      <c r="F49" s="9"/>
      <c r="G49" s="9"/>
      <c r="H49" s="9"/>
      <c r="I49" s="121">
        <f>I50+I51</f>
        <v>-807.78536725405638</v>
      </c>
      <c r="J49" s="131">
        <f>804+33</f>
        <v>837</v>
      </c>
      <c r="K49" s="38">
        <f>J49+I49-L50-L51</f>
        <v>-0.28536725405638208</v>
      </c>
      <c r="L49" s="3"/>
    </row>
    <row r="50" spans="1:12" x14ac:dyDescent="0.35">
      <c r="A50" s="98" t="s">
        <v>487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3"/>
      <c r="I50" s="124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498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3"/>
      <c r="I51" s="124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499</v>
      </c>
      <c r="B52" s="9"/>
      <c r="C52" s="9"/>
      <c r="D52" s="9"/>
      <c r="E52" s="9"/>
      <c r="F52" s="9"/>
      <c r="G52" s="9"/>
      <c r="H52" s="9"/>
      <c r="I52" s="121">
        <f>SUM(I53:I55)</f>
        <v>-3273.6349310162254</v>
      </c>
      <c r="J52" s="131">
        <f>1660+1552</f>
        <v>3212</v>
      </c>
      <c r="K52" s="38">
        <f>J52+I52-L53</f>
        <v>-71.634931016225437</v>
      </c>
      <c r="L52" s="3"/>
    </row>
    <row r="53" spans="1:12" x14ac:dyDescent="0.35">
      <c r="A53" s="132" t="s">
        <v>500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3"/>
      <c r="I53" s="124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511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3"/>
      <c r="I54" s="124">
        <f t="shared" si="3"/>
        <v>-1303.082172090094</v>
      </c>
      <c r="J54" s="6"/>
      <c r="K54" s="3"/>
      <c r="L54" s="3" t="s">
        <v>513</v>
      </c>
    </row>
    <row r="55" spans="1:12" x14ac:dyDescent="0.35">
      <c r="A55" s="98" t="s">
        <v>512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3"/>
      <c r="I55" s="124">
        <f t="shared" si="3"/>
        <v>-1432.7624920900939</v>
      </c>
      <c r="J55" s="6"/>
      <c r="K55" s="3"/>
      <c r="L55" s="3" t="s">
        <v>513</v>
      </c>
    </row>
    <row r="56" spans="1:12" x14ac:dyDescent="0.35">
      <c r="A56" s="9" t="s">
        <v>501</v>
      </c>
      <c r="B56" s="9"/>
      <c r="C56" s="9"/>
      <c r="D56" s="9"/>
      <c r="E56" s="9"/>
      <c r="F56" s="9"/>
      <c r="G56" s="9"/>
      <c r="H56" s="9"/>
      <c r="I56" s="121">
        <f>SUM(I57:I60)</f>
        <v>-14450.356071998145</v>
      </c>
      <c r="J56" s="131">
        <v>15000</v>
      </c>
      <c r="K56" s="38">
        <f>J56+I56</f>
        <v>549.64392800185487</v>
      </c>
      <c r="L56" s="3"/>
    </row>
    <row r="57" spans="1:12" x14ac:dyDescent="0.35">
      <c r="A57" s="3" t="s">
        <v>454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3"/>
      <c r="I57" s="124">
        <f t="shared" si="3"/>
        <v>-10624.909703727399</v>
      </c>
      <c r="J57" s="6"/>
      <c r="K57" s="3"/>
      <c r="L57" s="3"/>
    </row>
    <row r="58" spans="1:12" ht="29" x14ac:dyDescent="0.35">
      <c r="A58" s="18" t="s">
        <v>455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3"/>
      <c r="I58" s="124">
        <f t="shared" si="3"/>
        <v>-3252.6089556606394</v>
      </c>
      <c r="J58" s="6"/>
      <c r="K58" s="3"/>
      <c r="L58" s="3"/>
    </row>
    <row r="59" spans="1:12" x14ac:dyDescent="0.35">
      <c r="A59" s="3" t="s">
        <v>502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3"/>
      <c r="I59" s="124">
        <f t="shared" si="3"/>
        <v>-488.83680945757988</v>
      </c>
      <c r="J59" s="6"/>
      <c r="K59" s="3"/>
      <c r="L59" s="3"/>
    </row>
    <row r="60" spans="1:12" x14ac:dyDescent="0.35">
      <c r="A60" s="3" t="s">
        <v>503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3"/>
      <c r="I60" s="124">
        <f t="shared" si="3"/>
        <v>-84.000603152526637</v>
      </c>
      <c r="J60" s="6"/>
      <c r="K60" s="3"/>
      <c r="L60" s="3"/>
    </row>
    <row r="61" spans="1:12" x14ac:dyDescent="0.35">
      <c r="A61" s="9" t="s">
        <v>436</v>
      </c>
      <c r="B61" s="9"/>
      <c r="C61" s="9"/>
      <c r="D61" s="9"/>
      <c r="E61" s="9"/>
      <c r="F61" s="9"/>
      <c r="G61" s="9"/>
      <c r="H61" s="9"/>
      <c r="I61" s="121">
        <f>SUM(I62:I68)</f>
        <v>-3938.3367317124089</v>
      </c>
      <c r="J61" s="131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479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3"/>
      <c r="I62" s="124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498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3"/>
      <c r="I63" s="124">
        <f t="shared" si="3"/>
        <v>-521.2328688360376</v>
      </c>
      <c r="J63" s="6"/>
      <c r="K63" s="3"/>
      <c r="L63" s="3">
        <v>11</v>
      </c>
    </row>
    <row r="64" spans="1:12" x14ac:dyDescent="0.35">
      <c r="A64" s="98" t="s">
        <v>487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3"/>
      <c r="I64" s="124">
        <f t="shared" si="3"/>
        <v>-286.55249841801879</v>
      </c>
      <c r="J64" s="6"/>
      <c r="K64" s="3"/>
      <c r="L64" s="3">
        <v>18.5</v>
      </c>
    </row>
    <row r="65" spans="1:12" x14ac:dyDescent="0.35">
      <c r="A65" s="113" t="s">
        <v>500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3"/>
      <c r="I65" s="124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3" t="s">
        <v>504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3"/>
      <c r="I66" s="124">
        <f t="shared" si="3"/>
        <v>-275.66731879771288</v>
      </c>
      <c r="J66" s="6"/>
      <c r="K66" s="3"/>
      <c r="L66" s="3"/>
    </row>
    <row r="67" spans="1:12" x14ac:dyDescent="0.35">
      <c r="A67" s="113" t="s">
        <v>505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3"/>
      <c r="I67" s="124">
        <f t="shared" si="3"/>
        <v>-880.21519699428211</v>
      </c>
      <c r="J67" s="6"/>
      <c r="K67" s="3"/>
      <c r="L67" s="3"/>
    </row>
    <row r="68" spans="1:12" ht="16" customHeight="1" x14ac:dyDescent="0.35">
      <c r="A68" s="113" t="s">
        <v>506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3"/>
      <c r="I68" s="124">
        <f t="shared" si="3"/>
        <v>-872.68910699428216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1"/>
      <c r="K69" s="9"/>
      <c r="L69" s="3"/>
    </row>
    <row r="70" spans="1:12" x14ac:dyDescent="0.35">
      <c r="A70" s="113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7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2" x14ac:dyDescent="0.35">
      <c r="A4" s="9" t="s">
        <v>324</v>
      </c>
      <c r="B4" s="9"/>
      <c r="C4" s="9"/>
      <c r="D4" s="84"/>
      <c r="E4" s="9"/>
      <c r="F4" s="10"/>
      <c r="G4" s="10"/>
      <c r="H4" s="123"/>
      <c r="I4" s="121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35">
      <c r="A5" s="98" t="s">
        <v>515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3"/>
      <c r="I5" s="124">
        <f>H5-G5</f>
        <v>-638.4553064483689</v>
      </c>
      <c r="J5" s="6"/>
      <c r="K5" s="3"/>
      <c r="L5" s="3"/>
    </row>
    <row r="6" spans="1:12" x14ac:dyDescent="0.35">
      <c r="A6" s="9" t="s">
        <v>490</v>
      </c>
      <c r="B6" s="9"/>
      <c r="C6" s="9"/>
      <c r="D6" s="9"/>
      <c r="E6" s="9"/>
      <c r="F6" s="9"/>
      <c r="G6" s="9"/>
      <c r="H6" s="123"/>
      <c r="I6" s="121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35">
      <c r="A7" s="98" t="s">
        <v>516</v>
      </c>
      <c r="B7" s="133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3"/>
      <c r="I7" s="124">
        <f t="shared" ref="I7:I76" si="2">H7-G7</f>
        <v>-855.20757943601916</v>
      </c>
      <c r="J7" s="6"/>
      <c r="K7" s="3"/>
      <c r="L7" s="3">
        <v>11</v>
      </c>
    </row>
    <row r="8" spans="1:12" x14ac:dyDescent="0.35">
      <c r="A8" s="9" t="s">
        <v>495</v>
      </c>
      <c r="B8" s="9"/>
      <c r="C8" s="9"/>
      <c r="D8" s="9"/>
      <c r="E8" s="9"/>
      <c r="F8" s="9"/>
      <c r="G8" s="9"/>
      <c r="H8" s="123"/>
      <c r="I8" s="121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35">
      <c r="A9" s="98" t="s">
        <v>515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3"/>
      <c r="I9" s="124">
        <f t="shared" si="2"/>
        <v>-638.4553064483689</v>
      </c>
      <c r="J9" s="6"/>
      <c r="K9" s="3"/>
      <c r="L9" s="3"/>
    </row>
    <row r="10" spans="1:12" x14ac:dyDescent="0.35">
      <c r="A10" s="9" t="s">
        <v>411</v>
      </c>
      <c r="B10" s="9"/>
      <c r="C10" s="9"/>
      <c r="D10" s="9"/>
      <c r="E10" s="9"/>
      <c r="F10" s="9"/>
      <c r="G10" s="9"/>
      <c r="H10" s="123"/>
      <c r="I10" s="121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35">
      <c r="A11" s="3" t="s">
        <v>517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3"/>
      <c r="I11" s="124">
        <f t="shared" si="2"/>
        <v>-919.54983572951448</v>
      </c>
      <c r="J11" s="6"/>
      <c r="K11" s="3"/>
      <c r="L11" s="3"/>
    </row>
    <row r="12" spans="1:12" x14ac:dyDescent="0.35">
      <c r="A12" s="9" t="s">
        <v>393</v>
      </c>
      <c r="B12" s="9"/>
      <c r="C12" s="9"/>
      <c r="D12" s="9"/>
      <c r="E12" s="9"/>
      <c r="F12" s="9"/>
      <c r="G12" s="9"/>
      <c r="H12" s="9"/>
      <c r="I12" s="121">
        <f>I13</f>
        <v>-1043.9516893237862</v>
      </c>
      <c r="J12" s="131">
        <f>904+57</f>
        <v>961</v>
      </c>
      <c r="K12" s="38">
        <f>J12+I12-L13</f>
        <v>-82.95168932378624</v>
      </c>
      <c r="L12" s="3"/>
    </row>
    <row r="13" spans="1:12" x14ac:dyDescent="0.35">
      <c r="A13" s="98" t="s">
        <v>518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3"/>
      <c r="I13" s="124">
        <f t="shared" si="2"/>
        <v>-1043.9516893237862</v>
      </c>
      <c r="J13" s="6"/>
      <c r="K13" s="6"/>
      <c r="L13" s="3"/>
    </row>
    <row r="14" spans="1:12" x14ac:dyDescent="0.35">
      <c r="A14" s="9" t="s">
        <v>519</v>
      </c>
      <c r="B14" s="9"/>
      <c r="C14" s="9"/>
      <c r="D14" s="9"/>
      <c r="E14" s="9"/>
      <c r="F14" s="9"/>
      <c r="G14" s="9"/>
      <c r="H14" s="9"/>
      <c r="I14" s="121">
        <f>I15</f>
        <v>-820.29705359427169</v>
      </c>
      <c r="J14" s="131">
        <f>785+35</f>
        <v>820</v>
      </c>
      <c r="K14" s="38">
        <f>J14+I14-L15</f>
        <v>-0.29705359427168787</v>
      </c>
      <c r="L14" s="3"/>
    </row>
    <row r="15" spans="1:12" x14ac:dyDescent="0.35">
      <c r="A15" s="98" t="s">
        <v>520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3"/>
      <c r="I15" s="124">
        <f t="shared" si="2"/>
        <v>-820.29705359427169</v>
      </c>
      <c r="J15" s="6"/>
      <c r="K15" s="6"/>
      <c r="L15" s="3"/>
    </row>
    <row r="16" spans="1:12" x14ac:dyDescent="0.35">
      <c r="A16" s="9" t="s">
        <v>420</v>
      </c>
      <c r="B16" s="9"/>
      <c r="C16" s="9"/>
      <c r="D16" s="9"/>
      <c r="E16" s="9"/>
      <c r="F16" s="9"/>
      <c r="G16" s="9"/>
      <c r="H16" s="9"/>
      <c r="I16" s="121">
        <f>I17</f>
        <v>-1043.9516893237862</v>
      </c>
      <c r="J16" s="131">
        <f>995+46</f>
        <v>1041</v>
      </c>
      <c r="K16" s="38">
        <f>J16+I16</f>
        <v>-2.9516893237862405</v>
      </c>
      <c r="L16" s="3"/>
    </row>
    <row r="17" spans="1:12" x14ac:dyDescent="0.35">
      <c r="A17" s="98" t="s">
        <v>521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3"/>
      <c r="I17" s="124">
        <f t="shared" si="2"/>
        <v>-1043.9516893237862</v>
      </c>
      <c r="J17" s="6"/>
      <c r="K17" s="6"/>
      <c r="L17" s="3"/>
    </row>
    <row r="18" spans="1:12" x14ac:dyDescent="0.35">
      <c r="A18" s="9" t="s">
        <v>522</v>
      </c>
      <c r="B18" s="9"/>
      <c r="C18" s="9"/>
      <c r="D18" s="9"/>
      <c r="E18" s="9"/>
      <c r="F18" s="9"/>
      <c r="G18" s="9"/>
      <c r="H18" s="9"/>
      <c r="I18" s="121">
        <f>I19</f>
        <v>-570.13838629067948</v>
      </c>
      <c r="J18" s="131">
        <v>560</v>
      </c>
      <c r="K18" s="38">
        <f>J18+I18-L19</f>
        <v>-21.138386290679477</v>
      </c>
      <c r="L18" s="3"/>
    </row>
    <row r="19" spans="1:12" x14ac:dyDescent="0.35">
      <c r="A19" s="113" t="s">
        <v>523</v>
      </c>
      <c r="B19" s="133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3"/>
      <c r="I19" s="124">
        <f t="shared" si="2"/>
        <v>-570.13838629067948</v>
      </c>
      <c r="J19" s="6"/>
      <c r="K19" s="6"/>
      <c r="L19" s="3">
        <v>11</v>
      </c>
    </row>
    <row r="20" spans="1:12" x14ac:dyDescent="0.35">
      <c r="A20" s="9" t="s">
        <v>499</v>
      </c>
      <c r="B20" s="9"/>
      <c r="C20" s="9"/>
      <c r="D20" s="9"/>
      <c r="E20" s="9"/>
      <c r="F20" s="9"/>
      <c r="G20" s="9"/>
      <c r="H20" s="9"/>
      <c r="I20" s="121">
        <f>I21</f>
        <v>-314.38925314533969</v>
      </c>
      <c r="J20" s="131">
        <v>372</v>
      </c>
      <c r="K20" s="38">
        <f>J20+I20-L21</f>
        <v>46.610746854660306</v>
      </c>
      <c r="L20" s="3"/>
    </row>
    <row r="21" spans="1:12" x14ac:dyDescent="0.35">
      <c r="A21" s="3" t="s">
        <v>524</v>
      </c>
      <c r="B21" s="133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3"/>
      <c r="I21" s="124">
        <f t="shared" si="2"/>
        <v>-314.38925314533969</v>
      </c>
      <c r="J21" s="6"/>
      <c r="K21" s="6"/>
      <c r="L21" s="3">
        <v>11</v>
      </c>
    </row>
    <row r="22" spans="1:12" x14ac:dyDescent="0.35">
      <c r="A22" s="9" t="s">
        <v>497</v>
      </c>
      <c r="B22" s="9"/>
      <c r="C22" s="9"/>
      <c r="D22" s="9"/>
      <c r="E22" s="9"/>
      <c r="F22" s="9"/>
      <c r="G22" s="9"/>
      <c r="H22" s="9"/>
      <c r="I22" s="121">
        <f>I23</f>
        <v>-314.38925314533969</v>
      </c>
      <c r="J22" s="131">
        <f>300+26</f>
        <v>326</v>
      </c>
      <c r="K22" s="38">
        <f>J22+I22-L23</f>
        <v>0.61074685466030587</v>
      </c>
      <c r="L22" s="3"/>
    </row>
    <row r="23" spans="1:12" x14ac:dyDescent="0.35">
      <c r="A23" s="3" t="s">
        <v>524</v>
      </c>
      <c r="B23" s="133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3"/>
      <c r="I23" s="124">
        <f t="shared" si="2"/>
        <v>-314.38925314533969</v>
      </c>
      <c r="J23" s="6"/>
      <c r="K23" s="6"/>
      <c r="L23" s="3">
        <v>11</v>
      </c>
    </row>
    <row r="24" spans="1:12" x14ac:dyDescent="0.35">
      <c r="A24" s="9" t="s">
        <v>434</v>
      </c>
      <c r="B24" s="9"/>
      <c r="C24" s="9"/>
      <c r="D24" s="9"/>
      <c r="E24" s="9"/>
      <c r="F24" s="9"/>
      <c r="G24" s="9"/>
      <c r="H24" s="9"/>
      <c r="I24" s="121">
        <f>I25</f>
        <v>-628.77850629067939</v>
      </c>
      <c r="J24" s="131">
        <f>596+39</f>
        <v>635</v>
      </c>
      <c r="K24" s="38">
        <f>J24+I24-L25</f>
        <v>-4.7785062906793883</v>
      </c>
      <c r="L24" s="3"/>
    </row>
    <row r="25" spans="1:12" x14ac:dyDescent="0.35">
      <c r="A25" s="3" t="s">
        <v>525</v>
      </c>
      <c r="B25" s="133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3"/>
      <c r="I25" s="124">
        <f t="shared" si="2"/>
        <v>-628.77850629067939</v>
      </c>
      <c r="J25" s="6"/>
      <c r="K25" s="6"/>
      <c r="L25" s="3">
        <v>11</v>
      </c>
    </row>
    <row r="26" spans="1:12" x14ac:dyDescent="0.35">
      <c r="A26" s="9" t="s">
        <v>526</v>
      </c>
      <c r="B26" s="9"/>
      <c r="C26" s="9"/>
      <c r="D26" s="84"/>
      <c r="E26" s="9"/>
      <c r="F26" s="10"/>
      <c r="G26" s="10"/>
      <c r="H26" s="123"/>
      <c r="I26" s="121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35">
      <c r="A27" s="3" t="s">
        <v>525</v>
      </c>
      <c r="B27" s="133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3"/>
      <c r="I27" s="124">
        <f>H27-G27</f>
        <v>-628.77850629067939</v>
      </c>
      <c r="J27" s="6"/>
      <c r="K27" s="3"/>
      <c r="L27" s="3"/>
    </row>
    <row r="28" spans="1:12" x14ac:dyDescent="0.35">
      <c r="A28" s="9" t="s">
        <v>527</v>
      </c>
      <c r="B28" s="9"/>
      <c r="C28" s="9"/>
      <c r="D28" s="9"/>
      <c r="E28" s="9"/>
      <c r="F28" s="9"/>
      <c r="G28" s="9"/>
      <c r="H28" s="123"/>
      <c r="I28" s="121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35">
      <c r="A29" s="3" t="s">
        <v>525</v>
      </c>
      <c r="B29" s="133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3"/>
      <c r="I29" s="124">
        <f t="shared" ref="I29" si="5">H29-G29</f>
        <v>-628.77850629067939</v>
      </c>
      <c r="J29" s="6"/>
      <c r="K29" s="3"/>
      <c r="L29" s="3">
        <v>11</v>
      </c>
    </row>
    <row r="30" spans="1:12" x14ac:dyDescent="0.35">
      <c r="A30" s="9" t="s">
        <v>431</v>
      </c>
      <c r="B30" s="9"/>
      <c r="C30" s="9"/>
      <c r="D30" s="9"/>
      <c r="E30" s="9"/>
      <c r="F30" s="9"/>
      <c r="G30" s="9"/>
      <c r="H30" s="123"/>
      <c r="I30" s="121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35">
      <c r="A31" s="3" t="s">
        <v>525</v>
      </c>
      <c r="B31" s="133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3"/>
      <c r="I31" s="124">
        <f t="shared" ref="I31" si="8">H31-G31</f>
        <v>-628.77850629067939</v>
      </c>
      <c r="J31" s="6"/>
      <c r="K31" s="3"/>
      <c r="L31" s="3">
        <v>11</v>
      </c>
    </row>
    <row r="32" spans="1:12" x14ac:dyDescent="0.35">
      <c r="A32" s="9" t="s">
        <v>528</v>
      </c>
      <c r="B32" s="9"/>
      <c r="C32" s="9"/>
      <c r="D32" s="9"/>
      <c r="E32" s="9"/>
      <c r="F32" s="9"/>
      <c r="G32" s="9"/>
      <c r="H32" s="123"/>
      <c r="I32" s="121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35">
      <c r="A33" s="3" t="s">
        <v>525</v>
      </c>
      <c r="B33" s="133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3"/>
      <c r="I33" s="124">
        <f t="shared" ref="I33" si="11">H33-G33</f>
        <v>-628.77850629067939</v>
      </c>
      <c r="J33" s="6"/>
      <c r="K33" s="3"/>
      <c r="L33" s="3">
        <v>11</v>
      </c>
    </row>
    <row r="34" spans="1:12" x14ac:dyDescent="0.35">
      <c r="A34" s="9" t="s">
        <v>529</v>
      </c>
      <c r="B34" s="9"/>
      <c r="C34" s="9"/>
      <c r="D34" s="9"/>
      <c r="E34" s="9"/>
      <c r="F34" s="9"/>
      <c r="G34" s="9"/>
      <c r="H34" s="9"/>
      <c r="I34" s="121">
        <f>I35</f>
        <v>-569.6517462906794</v>
      </c>
      <c r="J34" s="131">
        <f>538+43</f>
        <v>581</v>
      </c>
      <c r="K34" s="38">
        <f>J34+I34-L35</f>
        <v>0.34825370932060196</v>
      </c>
      <c r="L34" s="3"/>
    </row>
    <row r="35" spans="1:12" x14ac:dyDescent="0.35">
      <c r="A35" s="3" t="s">
        <v>530</v>
      </c>
      <c r="B35" s="133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3"/>
      <c r="I35" s="124">
        <f t="shared" ref="I35" si="14">H35-G35</f>
        <v>-569.6517462906794</v>
      </c>
      <c r="J35" s="6"/>
      <c r="K35" s="6"/>
      <c r="L35" s="3">
        <v>11</v>
      </c>
    </row>
    <row r="36" spans="1:12" x14ac:dyDescent="0.35">
      <c r="A36" s="9" t="s">
        <v>531</v>
      </c>
      <c r="B36" s="9"/>
      <c r="C36" s="9"/>
      <c r="D36" s="9"/>
      <c r="E36" s="9"/>
      <c r="F36" s="9"/>
      <c r="G36" s="9"/>
      <c r="H36" s="9"/>
      <c r="I36" s="121">
        <f>I37+I38</f>
        <v>-2056.7801965123294</v>
      </c>
      <c r="J36" s="131">
        <f>1964+93</f>
        <v>2057</v>
      </c>
      <c r="K36" s="38">
        <f>J36+I36-L37-L38</f>
        <v>0.21980348767056057</v>
      </c>
      <c r="L36" s="3"/>
    </row>
    <row r="37" spans="1:12" x14ac:dyDescent="0.35">
      <c r="A37" s="98" t="s">
        <v>532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3"/>
      <c r="I37" s="124">
        <f t="shared" si="2"/>
        <v>-1015.3615893237862</v>
      </c>
      <c r="J37" s="6"/>
      <c r="K37" s="6"/>
      <c r="L37" s="3"/>
    </row>
    <row r="38" spans="1:12" x14ac:dyDescent="0.35">
      <c r="A38" s="98" t="s">
        <v>533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3"/>
      <c r="I38" s="124">
        <f t="shared" si="2"/>
        <v>-1041.4186071885433</v>
      </c>
      <c r="J38" s="6"/>
      <c r="K38" s="6"/>
      <c r="L38" s="3"/>
    </row>
    <row r="39" spans="1:12" x14ac:dyDescent="0.35">
      <c r="A39" s="9" t="s">
        <v>534</v>
      </c>
      <c r="B39" s="9"/>
      <c r="C39" s="9"/>
      <c r="D39" s="9"/>
      <c r="E39" s="9"/>
      <c r="F39" s="9"/>
      <c r="G39" s="9"/>
      <c r="H39" s="9"/>
      <c r="I39" s="121">
        <f>I40+I41</f>
        <v>-2655.0242588961746</v>
      </c>
      <c r="J39" s="131">
        <f>2547+108</f>
        <v>2655</v>
      </c>
      <c r="K39" s="38">
        <f>J39+I39-L40-L41</f>
        <v>-2.4258896174615074E-2</v>
      </c>
      <c r="L39" s="3"/>
    </row>
    <row r="40" spans="1:12" x14ac:dyDescent="0.35">
      <c r="A40" s="113" t="s">
        <v>535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3"/>
      <c r="I40" s="124">
        <f t="shared" si="2"/>
        <v>-1750.0973657508348</v>
      </c>
      <c r="J40" s="6"/>
      <c r="K40" s="6"/>
      <c r="L40" s="3"/>
    </row>
    <row r="41" spans="1:12" x14ac:dyDescent="0.35">
      <c r="A41" s="98" t="s">
        <v>536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3"/>
      <c r="I41" s="124">
        <f t="shared" si="2"/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21">
        <f>I43+I44</f>
        <v>-2902.1773615229895</v>
      </c>
      <c r="J42" s="131">
        <f>2833+69</f>
        <v>2902</v>
      </c>
      <c r="K42" s="38">
        <f>J42+I42-L43-L44</f>
        <v>-0.17736152298948582</v>
      </c>
      <c r="L42" s="3"/>
    </row>
    <row r="43" spans="1:12" x14ac:dyDescent="0.35">
      <c r="A43" s="98" t="s">
        <v>537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3"/>
      <c r="I43" s="124">
        <f t="shared" si="2"/>
        <v>-797.84988287541739</v>
      </c>
      <c r="J43" s="6"/>
      <c r="K43" s="6"/>
      <c r="L43" s="3"/>
    </row>
    <row r="44" spans="1:12" x14ac:dyDescent="0.35">
      <c r="A44" s="3" t="s">
        <v>538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3"/>
      <c r="I44" s="124">
        <f t="shared" si="2"/>
        <v>-2104.3274786475722</v>
      </c>
      <c r="J44" s="6"/>
      <c r="K44" s="6"/>
      <c r="L44" s="3"/>
    </row>
    <row r="45" spans="1:12" x14ac:dyDescent="0.35">
      <c r="A45" s="9" t="s">
        <v>539</v>
      </c>
      <c r="B45" s="9"/>
      <c r="C45" s="9"/>
      <c r="D45" s="9"/>
      <c r="E45" s="9"/>
      <c r="F45" s="9"/>
      <c r="G45" s="9"/>
      <c r="H45" s="9"/>
      <c r="I45" s="121">
        <f>I46+I47</f>
        <v>-884.52763943601917</v>
      </c>
      <c r="J45" s="131">
        <f>844+63</f>
        <v>907</v>
      </c>
      <c r="K45" s="38">
        <f>J45+I45-L46-L47</f>
        <v>0.47236056398082837</v>
      </c>
      <c r="L45" s="3"/>
    </row>
    <row r="46" spans="1:12" x14ac:dyDescent="0.35">
      <c r="A46" s="3" t="s">
        <v>524</v>
      </c>
      <c r="B46" s="133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3"/>
      <c r="I46" s="124">
        <f t="shared" ref="I46:I47" si="17">H46-G46</f>
        <v>-314.38925314533969</v>
      </c>
      <c r="J46" s="6"/>
      <c r="K46" s="6"/>
      <c r="L46" s="3">
        <v>11</v>
      </c>
    </row>
    <row r="47" spans="1:12" x14ac:dyDescent="0.35">
      <c r="A47" s="113" t="s">
        <v>523</v>
      </c>
      <c r="B47" s="133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3"/>
      <c r="I47" s="124">
        <f t="shared" si="17"/>
        <v>-570.13838629067948</v>
      </c>
      <c r="J47" s="6"/>
      <c r="K47" s="6"/>
      <c r="L47" s="3">
        <v>11</v>
      </c>
    </row>
    <row r="48" spans="1:12" x14ac:dyDescent="0.35">
      <c r="A48" s="9" t="s">
        <v>540</v>
      </c>
      <c r="B48" s="9"/>
      <c r="C48" s="9"/>
      <c r="D48" s="9"/>
      <c r="E48" s="9"/>
      <c r="F48" s="9"/>
      <c r="G48" s="9"/>
      <c r="H48" s="9"/>
      <c r="I48" s="121">
        <f>I49+I50</f>
        <v>-1169.5968325813587</v>
      </c>
      <c r="J48" s="131">
        <f>1116+76</f>
        <v>1192</v>
      </c>
      <c r="K48" s="38">
        <f>J48+I48-L49-L50</f>
        <v>0.40316741864126016</v>
      </c>
      <c r="L48" s="3"/>
    </row>
    <row r="49" spans="1:12" x14ac:dyDescent="0.35">
      <c r="A49" s="3" t="s">
        <v>524</v>
      </c>
      <c r="B49" s="133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3"/>
      <c r="I49" s="124">
        <f t="shared" ref="I49:I50" si="20">H49-G49</f>
        <v>-314.38925314533969</v>
      </c>
      <c r="J49" s="6"/>
      <c r="K49" s="6"/>
      <c r="L49" s="3">
        <v>11</v>
      </c>
    </row>
    <row r="50" spans="1:12" x14ac:dyDescent="0.35">
      <c r="A50" s="113" t="s">
        <v>541</v>
      </c>
      <c r="B50" s="133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3"/>
      <c r="I50" s="124">
        <f t="shared" si="20"/>
        <v>-855.20757943601916</v>
      </c>
      <c r="J50" s="6"/>
      <c r="K50" s="6"/>
      <c r="L50" s="3">
        <v>11</v>
      </c>
    </row>
    <row r="51" spans="1:12" x14ac:dyDescent="0.35">
      <c r="A51" s="9" t="s">
        <v>542</v>
      </c>
      <c r="B51" s="9"/>
      <c r="C51" s="9"/>
      <c r="D51" s="9"/>
      <c r="E51" s="9"/>
      <c r="F51" s="9"/>
      <c r="G51" s="9"/>
      <c r="H51" s="9"/>
      <c r="I51" s="121">
        <f>I52+I53</f>
        <v>-1709.4418788720382</v>
      </c>
      <c r="J51" s="131">
        <f>1630+90</f>
        <v>1720</v>
      </c>
      <c r="K51" s="38">
        <f>J51+I51-L52-L53</f>
        <v>-0.4418788720381599</v>
      </c>
      <c r="L51" s="3"/>
    </row>
    <row r="52" spans="1:12" x14ac:dyDescent="0.35">
      <c r="A52" s="113" t="s">
        <v>523</v>
      </c>
      <c r="B52" s="133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3"/>
      <c r="I52" s="124">
        <f t="shared" ref="I52:I53" si="23">H52-G52</f>
        <v>-570.13838629067948</v>
      </c>
      <c r="J52" s="6"/>
      <c r="K52" s="6"/>
      <c r="L52" s="3"/>
    </row>
    <row r="53" spans="1:12" x14ac:dyDescent="0.35">
      <c r="A53" s="3" t="s">
        <v>543</v>
      </c>
      <c r="B53" s="133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3"/>
      <c r="I53" s="124">
        <f t="shared" si="23"/>
        <v>-1139.3034925813588</v>
      </c>
      <c r="J53" s="6"/>
      <c r="K53" s="6"/>
      <c r="L53" s="3">
        <v>11</v>
      </c>
    </row>
    <row r="54" spans="1:12" x14ac:dyDescent="0.35">
      <c r="A54" s="9" t="s">
        <v>544</v>
      </c>
      <c r="B54" s="9"/>
      <c r="C54" s="9"/>
      <c r="D54" s="9"/>
      <c r="E54" s="9"/>
      <c r="F54" s="9"/>
      <c r="G54" s="9"/>
      <c r="H54" s="9"/>
      <c r="I54" s="121">
        <f>I55+I56</f>
        <v>-569.89506629067944</v>
      </c>
      <c r="J54" s="131">
        <f>543+49</f>
        <v>592</v>
      </c>
      <c r="K54" s="38">
        <f>J54+I54-L55-L56</f>
        <v>0.10493370932056223</v>
      </c>
      <c r="L54" s="3"/>
    </row>
    <row r="55" spans="1:12" x14ac:dyDescent="0.35">
      <c r="A55" s="113" t="s">
        <v>545</v>
      </c>
      <c r="B55" s="133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3"/>
      <c r="I55" s="124">
        <f t="shared" ref="I55:I56" si="26">H55-G55</f>
        <v>-285.06919314533974</v>
      </c>
      <c r="J55" s="6"/>
      <c r="K55" s="6"/>
      <c r="L55" s="3">
        <v>11</v>
      </c>
    </row>
    <row r="56" spans="1:12" x14ac:dyDescent="0.35">
      <c r="A56" s="3" t="s">
        <v>546</v>
      </c>
      <c r="B56" s="133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3"/>
      <c r="I56" s="124">
        <f t="shared" si="26"/>
        <v>-284.8258731453397</v>
      </c>
      <c r="J56" s="6"/>
      <c r="K56" s="6"/>
      <c r="L56" s="3">
        <v>11</v>
      </c>
    </row>
    <row r="57" spans="1:12" x14ac:dyDescent="0.35">
      <c r="A57" s="9" t="s">
        <v>482</v>
      </c>
      <c r="B57" s="9"/>
      <c r="C57" s="9"/>
      <c r="D57" s="9"/>
      <c r="E57" s="9"/>
      <c r="F57" s="9"/>
      <c r="G57" s="9"/>
      <c r="H57" s="9"/>
      <c r="I57" s="121">
        <f>SUM(I58:I60)</f>
        <v>-2293.4495051627177</v>
      </c>
      <c r="J57" s="131">
        <f>2188+129</f>
        <v>2317</v>
      </c>
      <c r="K57" s="38">
        <f>J57+I57-L58-L59-L60</f>
        <v>1.5504948372822582</v>
      </c>
      <c r="L57" s="3"/>
    </row>
    <row r="58" spans="1:12" x14ac:dyDescent="0.35">
      <c r="A58" s="113" t="s">
        <v>547</v>
      </c>
      <c r="B58" s="133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3"/>
      <c r="I58" s="124">
        <f t="shared" si="2"/>
        <v>-298.69511314533975</v>
      </c>
      <c r="J58" s="6"/>
      <c r="K58" s="6"/>
      <c r="L58" s="3">
        <v>11</v>
      </c>
    </row>
    <row r="59" spans="1:12" x14ac:dyDescent="0.35">
      <c r="A59" s="113" t="s">
        <v>548</v>
      </c>
      <c r="B59" s="133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3"/>
      <c r="I59" s="124">
        <f t="shared" si="2"/>
        <v>-1140.276772581359</v>
      </c>
      <c r="J59" s="6"/>
      <c r="K59" s="6"/>
      <c r="L59" s="3"/>
    </row>
    <row r="60" spans="1:12" x14ac:dyDescent="0.35">
      <c r="A60" s="3" t="s">
        <v>549</v>
      </c>
      <c r="B60" s="133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3"/>
      <c r="I60" s="124">
        <f t="shared" si="2"/>
        <v>-854.47761943601915</v>
      </c>
      <c r="J60" s="6"/>
      <c r="K60" s="6"/>
      <c r="L60" s="3">
        <v>11</v>
      </c>
    </row>
    <row r="61" spans="1:12" x14ac:dyDescent="0.35">
      <c r="A61" s="9" t="s">
        <v>553</v>
      </c>
      <c r="B61" s="9"/>
      <c r="C61" s="9"/>
      <c r="D61" s="9"/>
      <c r="E61" s="9"/>
      <c r="F61" s="9"/>
      <c r="G61" s="9"/>
      <c r="H61" s="9"/>
      <c r="I61" s="121">
        <f>SUM(I62:I64)</f>
        <v>-4810.3835171921637</v>
      </c>
      <c r="J61" s="131">
        <f>4009+586+215</f>
        <v>4810</v>
      </c>
      <c r="K61" s="38">
        <f>J61+I61-L62-L64</f>
        <v>-0.38351719216370839</v>
      </c>
      <c r="L61" s="3"/>
    </row>
    <row r="62" spans="1:12" x14ac:dyDescent="0.35">
      <c r="A62" s="3" t="s">
        <v>554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3"/>
      <c r="I62" s="124">
        <f t="shared" si="2"/>
        <v>-2163.7411143770869</v>
      </c>
      <c r="J62" s="6"/>
      <c r="K62" s="6"/>
      <c r="L62" s="3"/>
    </row>
    <row r="63" spans="1:12" x14ac:dyDescent="0.35">
      <c r="A63" s="3" t="s">
        <v>555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3"/>
      <c r="I63" s="124">
        <f t="shared" si="2"/>
        <v>-854.47172394303891</v>
      </c>
      <c r="J63" s="6"/>
      <c r="K63" s="6"/>
      <c r="L63" s="3"/>
    </row>
    <row r="64" spans="1:12" x14ac:dyDescent="0.35">
      <c r="A64" s="98" t="s">
        <v>556</v>
      </c>
      <c r="B64" s="133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3"/>
      <c r="I64" s="124">
        <f t="shared" si="2"/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21">
        <f>SUM(I66:I68)</f>
        <v>-5475.7320689786393</v>
      </c>
      <c r="J65" s="131">
        <f>5209+140</f>
        <v>5349</v>
      </c>
      <c r="K65" s="38">
        <f>J65+I65-L66</f>
        <v>-126.73206897863929</v>
      </c>
      <c r="L65" s="3"/>
    </row>
    <row r="66" spans="1:13" x14ac:dyDescent="0.35">
      <c r="A66" s="113" t="s">
        <v>557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3"/>
      <c r="I66" s="124">
        <f t="shared" si="2"/>
        <v>-1187.2018357295144</v>
      </c>
      <c r="J66" s="6"/>
      <c r="K66" s="3"/>
      <c r="L66" s="3"/>
    </row>
    <row r="67" spans="1:13" x14ac:dyDescent="0.35">
      <c r="A67" s="3" t="s">
        <v>453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3"/>
      <c r="I67" s="124">
        <f t="shared" si="2"/>
        <v>-2402.1947143770867</v>
      </c>
      <c r="J67" s="6"/>
      <c r="K67" s="3"/>
      <c r="L67" s="3"/>
    </row>
    <row r="68" spans="1:13" x14ac:dyDescent="0.35">
      <c r="A68" s="3" t="s">
        <v>558</v>
      </c>
      <c r="B68" s="133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3"/>
      <c r="I68" s="124">
        <f t="shared" si="2"/>
        <v>-1886.3355188720384</v>
      </c>
      <c r="J68" s="6"/>
      <c r="K68" s="3"/>
      <c r="L68" s="3"/>
    </row>
    <row r="69" spans="1:13" x14ac:dyDescent="0.35">
      <c r="A69" s="9" t="s">
        <v>441</v>
      </c>
      <c r="B69" s="9"/>
      <c r="C69" s="9"/>
      <c r="D69" s="9"/>
      <c r="E69" s="9"/>
      <c r="F69" s="9"/>
      <c r="G69" s="9"/>
      <c r="H69" s="9"/>
      <c r="I69" s="121">
        <f>SUM(I70:I74)</f>
        <v>-3480.5593176346601</v>
      </c>
      <c r="J69" s="131">
        <f>2220+1100+169</f>
        <v>3489</v>
      </c>
      <c r="K69" s="38">
        <f>J69+I69-L70-L71-L72-L73-L74</f>
        <v>-10.059317634660147</v>
      </c>
      <c r="L69" s="3"/>
    </row>
    <row r="70" spans="1:13" x14ac:dyDescent="0.35">
      <c r="A70" s="3" t="s">
        <v>559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3"/>
      <c r="I70" s="124">
        <f t="shared" si="2"/>
        <v>-738.23648287541744</v>
      </c>
      <c r="J70" s="6"/>
      <c r="K70" s="3"/>
      <c r="L70" s="3"/>
    </row>
    <row r="71" spans="1:13" x14ac:dyDescent="0.35">
      <c r="A71" s="3" t="s">
        <v>560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3"/>
      <c r="I71" s="124">
        <f t="shared" si="2"/>
        <v>-668.87030644836886</v>
      </c>
      <c r="J71" s="6"/>
      <c r="K71" s="3"/>
      <c r="L71" s="3"/>
    </row>
    <row r="72" spans="1:13" x14ac:dyDescent="0.35">
      <c r="A72" s="3" t="s">
        <v>517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3"/>
      <c r="I72" s="124">
        <f t="shared" si="2"/>
        <v>-919.54983572951448</v>
      </c>
      <c r="J72" s="6"/>
      <c r="K72" s="3"/>
      <c r="L72" s="3"/>
    </row>
    <row r="73" spans="1:13" x14ac:dyDescent="0.35">
      <c r="A73" s="113" t="s">
        <v>547</v>
      </c>
      <c r="B73" s="133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3"/>
      <c r="I73" s="124">
        <f t="shared" si="2"/>
        <v>-298.69511314533975</v>
      </c>
      <c r="J73" s="6"/>
      <c r="K73" s="3"/>
      <c r="L73" s="3">
        <v>18.5</v>
      </c>
    </row>
    <row r="74" spans="1:13" x14ac:dyDescent="0.35">
      <c r="A74" s="113" t="s">
        <v>541</v>
      </c>
      <c r="B74" s="133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3"/>
      <c r="I74" s="124">
        <f t="shared" si="2"/>
        <v>-855.20757943601916</v>
      </c>
      <c r="J74" s="6"/>
      <c r="K74" s="3"/>
      <c r="L74" s="3"/>
      <c r="M74" t="s">
        <v>566</v>
      </c>
    </row>
    <row r="75" spans="1:13" x14ac:dyDescent="0.35">
      <c r="A75" s="88"/>
      <c r="B75" s="9"/>
      <c r="C75" s="9"/>
      <c r="D75" s="84"/>
      <c r="E75" s="9"/>
      <c r="F75" s="9"/>
      <c r="G75" s="9"/>
      <c r="H75" s="9"/>
      <c r="I75" s="9"/>
      <c r="J75" s="131"/>
      <c r="K75" s="9"/>
      <c r="L75" s="3"/>
    </row>
    <row r="76" spans="1:13" x14ac:dyDescent="0.35">
      <c r="A76" s="113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3"/>
      <c r="I76" s="124">
        <f t="shared" si="2"/>
        <v>0</v>
      </c>
      <c r="J76" s="6"/>
      <c r="K76" s="3"/>
      <c r="L76" s="3"/>
    </row>
    <row r="77" spans="1:13" x14ac:dyDescent="0.3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3"/>
      <c r="I77" s="122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21">
        <f>SUM(I82:I84)</f>
        <v>-4336.9367246470092</v>
      </c>
      <c r="J81" s="131">
        <v>3997</v>
      </c>
      <c r="K81" s="38"/>
      <c r="L81" s="3" t="s">
        <v>567</v>
      </c>
    </row>
    <row r="82" spans="1:12" x14ac:dyDescent="0.35">
      <c r="A82" s="113" t="s">
        <v>550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3"/>
      <c r="I82" s="124">
        <f t="shared" ref="I82:I84" si="30">H82-G82</f>
        <v>-775.34278287541736</v>
      </c>
      <c r="J82" s="6"/>
      <c r="K82" s="6"/>
      <c r="L82" s="3"/>
    </row>
    <row r="83" spans="1:12" x14ac:dyDescent="0.35">
      <c r="A83" s="3" t="s">
        <v>551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3"/>
      <c r="I83" s="124">
        <f t="shared" si="30"/>
        <v>-2669.4413486262524</v>
      </c>
      <c r="J83" s="6"/>
      <c r="K83" s="6"/>
      <c r="L83" s="3"/>
    </row>
    <row r="84" spans="1:12" x14ac:dyDescent="0.35">
      <c r="A84" s="98" t="s">
        <v>552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3"/>
      <c r="I84" s="124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zoomScale="80" zoomScaleNormal="80" workbookViewId="0">
      <selection activeCell="K24" sqref="K24"/>
    </sheetView>
  </sheetViews>
  <sheetFormatPr defaultRowHeight="14.5" x14ac:dyDescent="0.35"/>
  <cols>
    <col min="1" max="1" width="57" customWidth="1"/>
    <col min="6" max="6" width="11.453125" customWidth="1"/>
    <col min="9" max="9" width="12.7265625" customWidth="1"/>
    <col min="10" max="10" width="14.54296875" style="41" customWidth="1"/>
    <col min="11" max="11" width="12.54296875" customWidth="1"/>
    <col min="13" max="13" width="9.54296875" customWidth="1"/>
  </cols>
  <sheetData>
    <row r="1" spans="1:13" x14ac:dyDescent="0.3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7">
        <v>43224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35">
      <c r="A4" s="9" t="s">
        <v>12</v>
      </c>
      <c r="B4" s="9"/>
      <c r="C4" s="9"/>
      <c r="D4" s="9"/>
      <c r="E4" s="9"/>
      <c r="F4" s="10"/>
      <c r="G4" s="10"/>
      <c r="H4" s="123"/>
      <c r="I4" s="121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35">
      <c r="A5" s="3" t="s">
        <v>568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3"/>
      <c r="I5" s="124">
        <f>H5-G5</f>
        <v>-2107.2956925014241</v>
      </c>
      <c r="J5" s="6"/>
      <c r="K5" s="3"/>
      <c r="L5" s="3"/>
    </row>
    <row r="6" spans="1:13" x14ac:dyDescent="0.35">
      <c r="A6" s="9" t="s">
        <v>569</v>
      </c>
      <c r="B6" s="9"/>
      <c r="C6" s="9"/>
      <c r="D6" s="9"/>
      <c r="E6" s="9"/>
      <c r="F6" s="9"/>
      <c r="G6" s="9"/>
      <c r="H6" s="9"/>
      <c r="I6" s="121">
        <f>I7</f>
        <v>-1826.0410760243453</v>
      </c>
      <c r="J6" s="131">
        <v>1830</v>
      </c>
      <c r="K6" s="38">
        <f t="shared" ref="K6:K50" si="0">J6+I6</f>
        <v>3.9589239756546704</v>
      </c>
      <c r="L6" s="9"/>
    </row>
    <row r="7" spans="1:13" x14ac:dyDescent="0.35">
      <c r="A7" s="3" t="s">
        <v>570</v>
      </c>
      <c r="B7" s="3">
        <v>2</v>
      </c>
      <c r="C7" s="3">
        <v>2098</v>
      </c>
      <c r="D7" s="3">
        <f t="shared" ref="D7:D64" si="1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2">(C7)*$B$1+D7*$B$1+F7*$B$1</f>
        <v>1826.0410760243453</v>
      </c>
      <c r="H7" s="123"/>
      <c r="I7" s="124">
        <f t="shared" ref="I7:I64" si="3">H7-G7</f>
        <v>-1826.0410760243453</v>
      </c>
      <c r="J7" s="6"/>
      <c r="K7" s="3"/>
      <c r="L7" s="3"/>
    </row>
    <row r="8" spans="1:13" x14ac:dyDescent="0.35">
      <c r="A8" s="9" t="s">
        <v>216</v>
      </c>
      <c r="B8" s="9"/>
      <c r="C8" s="9"/>
      <c r="D8" s="9"/>
      <c r="E8" s="9"/>
      <c r="F8" s="9"/>
      <c r="G8" s="9"/>
      <c r="H8" s="9"/>
      <c r="I8" s="121">
        <f>SUM(I9:I11)</f>
        <v>-3278.9847340569058</v>
      </c>
      <c r="J8" s="131">
        <v>3291</v>
      </c>
      <c r="K8" s="38">
        <f t="shared" si="0"/>
        <v>12.015265943094164</v>
      </c>
      <c r="L8" s="9"/>
    </row>
    <row r="9" spans="1:13" x14ac:dyDescent="0.35">
      <c r="A9" s="44" t="s">
        <v>571</v>
      </c>
      <c r="B9" s="26">
        <v>1</v>
      </c>
      <c r="C9" s="26">
        <v>941</v>
      </c>
      <c r="D9" s="3">
        <f t="shared" si="1"/>
        <v>94.100000000000009</v>
      </c>
      <c r="E9" s="26">
        <f>0.12*1.3*B9</f>
        <v>0.156</v>
      </c>
      <c r="F9" s="3">
        <f>E9/$E$94*$F$94</f>
        <v>254.90960333403274</v>
      </c>
      <c r="G9" s="3">
        <f t="shared" si="2"/>
        <v>746.65755840973816</v>
      </c>
      <c r="H9" s="123"/>
      <c r="I9" s="124">
        <f t="shared" si="3"/>
        <v>-746.65755840973816</v>
      </c>
      <c r="J9" s="6"/>
      <c r="K9" s="3"/>
      <c r="L9" s="3"/>
    </row>
    <row r="10" spans="1:13" x14ac:dyDescent="0.35">
      <c r="A10" s="26" t="s">
        <v>572</v>
      </c>
      <c r="B10" s="26">
        <v>2</v>
      </c>
      <c r="C10" s="26">
        <v>1882</v>
      </c>
      <c r="D10" s="3">
        <f t="shared" si="1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2"/>
        <v>1602.2452768194762</v>
      </c>
      <c r="H10" s="123"/>
      <c r="I10" s="124">
        <f t="shared" si="3"/>
        <v>-1602.2452768194762</v>
      </c>
      <c r="J10" s="6"/>
      <c r="K10" s="3"/>
      <c r="L10" s="3"/>
    </row>
    <row r="11" spans="1:13" x14ac:dyDescent="0.35">
      <c r="A11" s="44" t="s">
        <v>552</v>
      </c>
      <c r="B11" s="26">
        <v>1</v>
      </c>
      <c r="C11" s="26">
        <v>1290</v>
      </c>
      <c r="D11" s="3">
        <f t="shared" si="1"/>
        <v>129</v>
      </c>
      <c r="E11" s="26">
        <f>0.1*1.15</f>
        <v>0.11499999999999999</v>
      </c>
      <c r="F11" s="3">
        <f>E11/$E$94*$F$94</f>
        <v>187.91413066290872</v>
      </c>
      <c r="G11" s="3">
        <f t="shared" si="2"/>
        <v>930.08189882769148</v>
      </c>
      <c r="H11" s="123"/>
      <c r="I11" s="124">
        <f t="shared" si="3"/>
        <v>-930.08189882769148</v>
      </c>
      <c r="J11" s="6"/>
      <c r="K11" s="3"/>
      <c r="L11" s="3"/>
    </row>
    <row r="12" spans="1:13" x14ac:dyDescent="0.35">
      <c r="A12" s="9" t="s">
        <v>573</v>
      </c>
      <c r="B12" s="9"/>
      <c r="C12" s="9"/>
      <c r="D12" s="9"/>
      <c r="E12" s="9"/>
      <c r="F12" s="9"/>
      <c r="G12" s="9"/>
      <c r="H12" s="9"/>
      <c r="I12" s="121">
        <f>SUM(I13)</f>
        <v>-1333.7962833107661</v>
      </c>
      <c r="J12" s="131">
        <f>3917</f>
        <v>3917</v>
      </c>
      <c r="K12" s="38">
        <f t="shared" si="0"/>
        <v>2583.2037166892342</v>
      </c>
      <c r="L12" s="9"/>
    </row>
    <row r="13" spans="1:13" x14ac:dyDescent="0.35">
      <c r="A13" s="18" t="s">
        <v>576</v>
      </c>
      <c r="B13" s="133">
        <v>1</v>
      </c>
      <c r="C13" s="3">
        <v>1411.6</v>
      </c>
      <c r="D13" s="3">
        <f t="shared" si="1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2"/>
        <v>1333.7962833107661</v>
      </c>
      <c r="H13" s="123"/>
      <c r="I13" s="124">
        <f t="shared" si="3"/>
        <v>-1333.7962833107661</v>
      </c>
      <c r="J13" s="6"/>
      <c r="K13" s="3"/>
      <c r="L13" s="3"/>
      <c r="M13" t="s">
        <v>566</v>
      </c>
    </row>
    <row r="14" spans="1:13" x14ac:dyDescent="0.35">
      <c r="A14" s="9" t="s">
        <v>415</v>
      </c>
      <c r="B14" s="9"/>
      <c r="C14" s="9"/>
      <c r="D14" s="9"/>
      <c r="E14" s="9"/>
      <c r="F14" s="9"/>
      <c r="G14" s="9"/>
      <c r="H14" s="9"/>
      <c r="I14" s="121">
        <f>SUM(I15:I18)</f>
        <v>-3202.2606144035012</v>
      </c>
      <c r="J14" s="131">
        <v>3215</v>
      </c>
      <c r="K14" s="38">
        <f t="shared" si="0"/>
        <v>12.739385596498778</v>
      </c>
      <c r="L14" s="9"/>
    </row>
    <row r="15" spans="1:13" x14ac:dyDescent="0.35">
      <c r="A15" s="3" t="s">
        <v>502</v>
      </c>
      <c r="B15" s="3">
        <v>3</v>
      </c>
      <c r="C15" s="3">
        <v>567</v>
      </c>
      <c r="D15" s="3">
        <f t="shared" si="1"/>
        <v>170.10000000000002</v>
      </c>
      <c r="E15" s="3">
        <f>0.03*3</f>
        <v>0.09</v>
      </c>
      <c r="F15" s="3">
        <f>E15/$E$94*$F$94</f>
        <v>147.06323269271121</v>
      </c>
      <c r="G15" s="3">
        <f t="shared" si="2"/>
        <v>511.75367908254128</v>
      </c>
      <c r="H15" s="123"/>
      <c r="I15" s="124">
        <f t="shared" si="3"/>
        <v>-511.75367908254128</v>
      </c>
      <c r="J15" s="6"/>
      <c r="K15" s="3"/>
      <c r="L15" s="3"/>
    </row>
    <row r="16" spans="1:13" x14ac:dyDescent="0.35">
      <c r="A16" s="3" t="s">
        <v>503</v>
      </c>
      <c r="B16" s="3">
        <v>1</v>
      </c>
      <c r="C16" s="3">
        <v>100</v>
      </c>
      <c r="D16" s="3">
        <f t="shared" si="1"/>
        <v>10</v>
      </c>
      <c r="E16" s="3">
        <v>0.03</v>
      </c>
      <c r="F16" s="3">
        <f>E16/$E$94*$F$94</f>
        <v>49.021077564237061</v>
      </c>
      <c r="G16" s="3">
        <f t="shared" si="2"/>
        <v>92.041399694180399</v>
      </c>
      <c r="H16" s="123"/>
      <c r="I16" s="124">
        <f t="shared" si="3"/>
        <v>-92.041399694180399</v>
      </c>
      <c r="J16" s="6"/>
      <c r="K16" s="3"/>
      <c r="L16" s="3"/>
    </row>
    <row r="17" spans="1:12" x14ac:dyDescent="0.35">
      <c r="A17" s="3" t="s">
        <v>577</v>
      </c>
      <c r="B17" s="3">
        <v>1</v>
      </c>
      <c r="C17" s="3">
        <v>1722</v>
      </c>
      <c r="D17" s="3">
        <f t="shared" si="1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2"/>
        <v>1207.0192188073036</v>
      </c>
      <c r="H17" s="123"/>
      <c r="I17" s="124">
        <f t="shared" si="3"/>
        <v>-1207.0192188073036</v>
      </c>
      <c r="J17" s="6"/>
      <c r="K17" s="3"/>
      <c r="L17" s="3"/>
    </row>
    <row r="18" spans="1:12" x14ac:dyDescent="0.35">
      <c r="A18" s="134" t="s">
        <v>617</v>
      </c>
      <c r="B18" s="134">
        <v>1</v>
      </c>
      <c r="C18" s="3">
        <v>1722</v>
      </c>
      <c r="D18" s="3">
        <f t="shared" si="1"/>
        <v>172.20000000000002</v>
      </c>
      <c r="E18" s="3">
        <f>0.24*1.3</f>
        <v>0.312</v>
      </c>
      <c r="F18" s="3">
        <f>E18/$E$94*$F$94</f>
        <v>509.81920666806548</v>
      </c>
      <c r="G18" s="3">
        <f t="shared" si="2"/>
        <v>1391.4463168194761</v>
      </c>
      <c r="H18" s="123"/>
      <c r="I18" s="124">
        <f t="shared" si="3"/>
        <v>-1391.4463168194761</v>
      </c>
      <c r="J18" s="6"/>
      <c r="K18" s="3"/>
      <c r="L18" s="3"/>
    </row>
    <row r="19" spans="1:12" x14ac:dyDescent="0.35">
      <c r="A19" s="9" t="s">
        <v>534</v>
      </c>
      <c r="B19" s="9"/>
      <c r="C19" s="9"/>
      <c r="D19" s="9"/>
      <c r="E19" s="9"/>
      <c r="F19" s="9"/>
      <c r="G19" s="9"/>
      <c r="H19" s="9"/>
      <c r="I19" s="121">
        <f>I20</f>
        <v>-1821.7262368194761</v>
      </c>
      <c r="J19" s="131">
        <v>1829</v>
      </c>
      <c r="K19" s="38">
        <f t="shared" si="0"/>
        <v>7.2737631805239289</v>
      </c>
      <c r="L19" s="9"/>
    </row>
    <row r="20" spans="1:12" x14ac:dyDescent="0.35">
      <c r="A20" s="98" t="s">
        <v>578</v>
      </c>
      <c r="B20" s="134">
        <v>2</v>
      </c>
      <c r="C20" s="3">
        <v>2198</v>
      </c>
      <c r="D20" s="3">
        <f t="shared" si="1"/>
        <v>439.6</v>
      </c>
      <c r="E20" s="26">
        <f>0.12*1.3*B20</f>
        <v>0.312</v>
      </c>
      <c r="F20" s="3">
        <f>E20/$E$94*$F$94</f>
        <v>509.81920666806548</v>
      </c>
      <c r="G20" s="3">
        <f t="shared" si="2"/>
        <v>1821.7262368194761</v>
      </c>
      <c r="H20" s="123"/>
      <c r="I20" s="124">
        <f t="shared" si="3"/>
        <v>-1821.7262368194761</v>
      </c>
      <c r="J20" s="6"/>
      <c r="K20" s="3"/>
      <c r="L20" s="3"/>
    </row>
    <row r="21" spans="1:12" x14ac:dyDescent="0.35">
      <c r="A21" s="9" t="s">
        <v>579</v>
      </c>
      <c r="B21" s="9"/>
      <c r="C21" s="9"/>
      <c r="D21" s="9"/>
      <c r="E21" s="9"/>
      <c r="F21" s="9"/>
      <c r="G21" s="9"/>
      <c r="H21" s="9"/>
      <c r="I21" s="121">
        <f>I22</f>
        <v>-1215.2120180121728</v>
      </c>
      <c r="J21" s="131">
        <v>1220</v>
      </c>
      <c r="K21" s="38">
        <f t="shared" si="0"/>
        <v>4.7879819878271519</v>
      </c>
      <c r="L21" s="9"/>
    </row>
    <row r="22" spans="1:12" x14ac:dyDescent="0.35">
      <c r="A22" s="98" t="s">
        <v>580</v>
      </c>
      <c r="B22" s="3">
        <v>1</v>
      </c>
      <c r="C22" s="3">
        <v>1619</v>
      </c>
      <c r="D22" s="3">
        <f t="shared" si="1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2"/>
        <v>1215.2120180121728</v>
      </c>
      <c r="H22" s="123"/>
      <c r="I22" s="124">
        <f t="shared" si="3"/>
        <v>-1215.2120180121728</v>
      </c>
      <c r="J22" s="6"/>
      <c r="K22" s="3"/>
      <c r="L22" s="3"/>
    </row>
    <row r="23" spans="1:12" x14ac:dyDescent="0.35">
      <c r="A23" s="9" t="s">
        <v>581</v>
      </c>
      <c r="B23" s="9"/>
      <c r="C23" s="9"/>
      <c r="D23" s="9"/>
      <c r="E23" s="9"/>
      <c r="F23" s="9"/>
      <c r="G23" s="9"/>
      <c r="H23" s="9"/>
      <c r="I23" s="121">
        <f>SUM(I24:I26)</f>
        <v>-1642.7331741384578</v>
      </c>
      <c r="J23" s="131">
        <f>1436+240</f>
        <v>1676</v>
      </c>
      <c r="K23" s="38">
        <f>J23+I23-L24-L25-L26</f>
        <v>0.26682586154220189</v>
      </c>
      <c r="L23" s="9"/>
    </row>
    <row r="24" spans="1:12" x14ac:dyDescent="0.35">
      <c r="A24" s="3" t="s">
        <v>582</v>
      </c>
      <c r="B24" s="133">
        <v>1</v>
      </c>
      <c r="C24" s="3">
        <v>1058.7</v>
      </c>
      <c r="D24" s="3">
        <f t="shared" si="1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2"/>
        <v>1000.3472124830748</v>
      </c>
      <c r="H24" s="123"/>
      <c r="I24" s="124">
        <f t="shared" si="3"/>
        <v>-1000.3472124830748</v>
      </c>
      <c r="J24" s="6"/>
      <c r="K24" s="3"/>
      <c r="L24" s="3">
        <v>11</v>
      </c>
    </row>
    <row r="25" spans="1:12" x14ac:dyDescent="0.35">
      <c r="A25" s="3" t="s">
        <v>583</v>
      </c>
      <c r="B25" s="133">
        <v>1</v>
      </c>
      <c r="C25" s="3">
        <v>352.9</v>
      </c>
      <c r="D25" s="3">
        <f t="shared" si="1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2"/>
        <v>333.44907082769151</v>
      </c>
      <c r="H25" s="123"/>
      <c r="I25" s="124">
        <f t="shared" si="3"/>
        <v>-333.44907082769151</v>
      </c>
      <c r="J25" s="6"/>
      <c r="K25" s="3"/>
      <c r="L25" s="3">
        <v>11</v>
      </c>
    </row>
    <row r="26" spans="1:12" x14ac:dyDescent="0.35">
      <c r="A26" s="3" t="s">
        <v>547</v>
      </c>
      <c r="B26" s="133">
        <v>1</v>
      </c>
      <c r="C26" s="3">
        <v>314.40000000000003</v>
      </c>
      <c r="D26" s="3">
        <f t="shared" si="1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2"/>
        <v>308.93689082769157</v>
      </c>
      <c r="H26" s="123"/>
      <c r="I26" s="124">
        <f t="shared" si="3"/>
        <v>-308.93689082769157</v>
      </c>
      <c r="J26" s="6"/>
      <c r="K26" s="3"/>
      <c r="L26" s="3">
        <v>11</v>
      </c>
    </row>
    <row r="27" spans="1:12" x14ac:dyDescent="0.35">
      <c r="A27" s="9" t="s">
        <v>584</v>
      </c>
      <c r="B27" s="9"/>
      <c r="C27" s="9"/>
      <c r="D27" s="9"/>
      <c r="E27" s="9"/>
      <c r="F27" s="9"/>
      <c r="G27" s="9"/>
      <c r="H27" s="9"/>
      <c r="I27" s="121">
        <f>I28</f>
        <v>-666.89814165538303</v>
      </c>
      <c r="J27" s="131">
        <v>685</v>
      </c>
      <c r="K27" s="38">
        <f>J27+I27-L28</f>
        <v>7.1018583446169714</v>
      </c>
      <c r="L27" s="9"/>
    </row>
    <row r="28" spans="1:12" x14ac:dyDescent="0.35">
      <c r="A28" s="3" t="s">
        <v>585</v>
      </c>
      <c r="B28" s="133">
        <v>1</v>
      </c>
      <c r="C28" s="3">
        <v>705.8</v>
      </c>
      <c r="D28" s="3">
        <f t="shared" si="1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2"/>
        <v>666.89814165538303</v>
      </c>
      <c r="H28" s="123"/>
      <c r="I28" s="124">
        <f t="shared" si="3"/>
        <v>-666.89814165538303</v>
      </c>
      <c r="J28" s="6"/>
      <c r="K28" s="3"/>
      <c r="L28" s="3">
        <v>11</v>
      </c>
    </row>
    <row r="29" spans="1:12" x14ac:dyDescent="0.35">
      <c r="A29" s="9" t="s">
        <v>586</v>
      </c>
      <c r="B29" s="9"/>
      <c r="C29" s="9"/>
      <c r="D29" s="9"/>
      <c r="E29" s="9"/>
      <c r="F29" s="9"/>
      <c r="G29" s="9"/>
      <c r="H29" s="9"/>
      <c r="I29" s="121">
        <f>SUM(I30:I32)</f>
        <v>-1063.8598803107661</v>
      </c>
      <c r="J29" s="131">
        <f>1057+40</f>
        <v>1097</v>
      </c>
      <c r="K29" s="38">
        <f>J29+I29-L30-L31-L32</f>
        <v>0.1401196892338703</v>
      </c>
      <c r="L29" s="9"/>
    </row>
    <row r="30" spans="1:12" x14ac:dyDescent="0.35">
      <c r="A30" s="3" t="s">
        <v>547</v>
      </c>
      <c r="B30" s="133">
        <v>1</v>
      </c>
      <c r="C30" s="3">
        <v>314.40000000000003</v>
      </c>
      <c r="D30" s="3">
        <f t="shared" si="1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2"/>
        <v>308.93689082769157</v>
      </c>
      <c r="H30" s="123"/>
      <c r="I30" s="124">
        <f t="shared" si="3"/>
        <v>-308.93689082769157</v>
      </c>
      <c r="J30" s="6"/>
      <c r="K30" s="3"/>
      <c r="L30" s="3">
        <v>11</v>
      </c>
    </row>
    <row r="31" spans="1:12" x14ac:dyDescent="0.35">
      <c r="A31" s="3" t="s">
        <v>546</v>
      </c>
      <c r="B31" s="133">
        <v>1</v>
      </c>
      <c r="C31" s="3">
        <v>291.59999999999997</v>
      </c>
      <c r="D31" s="3">
        <f t="shared" si="1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2"/>
        <v>294.42058682769152</v>
      </c>
      <c r="H31" s="123"/>
      <c r="I31" s="124">
        <f t="shared" si="3"/>
        <v>-294.42058682769152</v>
      </c>
      <c r="J31" s="6"/>
      <c r="K31" s="3"/>
      <c r="L31" s="3">
        <v>11</v>
      </c>
    </row>
    <row r="32" spans="1:12" x14ac:dyDescent="0.35">
      <c r="A32" s="3" t="s">
        <v>587</v>
      </c>
      <c r="B32" s="133">
        <v>1</v>
      </c>
      <c r="C32" s="3">
        <v>381.625</v>
      </c>
      <c r="D32" s="3">
        <f t="shared" si="1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2"/>
        <v>460.50240265538309</v>
      </c>
      <c r="H32" s="123"/>
      <c r="I32" s="124">
        <f t="shared" si="3"/>
        <v>-460.50240265538309</v>
      </c>
      <c r="J32" s="6"/>
      <c r="K32" s="3"/>
      <c r="L32" s="3">
        <v>11</v>
      </c>
    </row>
    <row r="33" spans="1:13" x14ac:dyDescent="0.35">
      <c r="A33" s="9" t="s">
        <v>444</v>
      </c>
      <c r="B33" s="9"/>
      <c r="C33" s="9"/>
      <c r="D33" s="9"/>
      <c r="E33" s="9"/>
      <c r="F33" s="9"/>
      <c r="G33" s="9"/>
      <c r="H33" s="9"/>
      <c r="I33" s="121">
        <f>I34+I35</f>
        <v>-559.93590165538308</v>
      </c>
      <c r="J33" s="131">
        <f>566+25</f>
        <v>591</v>
      </c>
      <c r="K33" s="38">
        <f>J33+I33-L34-L35</f>
        <v>9.064098344616923</v>
      </c>
      <c r="L33" s="9"/>
    </row>
    <row r="34" spans="1:13" x14ac:dyDescent="0.35">
      <c r="A34" s="3" t="s">
        <v>547</v>
      </c>
      <c r="B34" s="133">
        <v>1</v>
      </c>
      <c r="C34" s="3">
        <v>314.40000000000003</v>
      </c>
      <c r="D34" s="3">
        <f t="shared" si="1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2"/>
        <v>308.93689082769157</v>
      </c>
      <c r="H34" s="123"/>
      <c r="I34" s="124">
        <f t="shared" si="3"/>
        <v>-308.93689082769157</v>
      </c>
      <c r="J34" s="6"/>
      <c r="K34" s="3"/>
      <c r="L34" s="3">
        <v>11</v>
      </c>
    </row>
    <row r="35" spans="1:13" x14ac:dyDescent="0.35">
      <c r="A35" s="3" t="s">
        <v>588</v>
      </c>
      <c r="B35" s="133">
        <v>1</v>
      </c>
      <c r="C35" s="3">
        <v>223.4</v>
      </c>
      <c r="D35" s="3">
        <f t="shared" si="1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2"/>
        <v>250.99901082769156</v>
      </c>
      <c r="H35" s="123"/>
      <c r="I35" s="124">
        <f t="shared" si="3"/>
        <v>-250.99901082769156</v>
      </c>
      <c r="J35" s="6"/>
      <c r="K35" s="3"/>
      <c r="L35" s="3">
        <v>11</v>
      </c>
    </row>
    <row r="36" spans="1:13" x14ac:dyDescent="0.35">
      <c r="A36" s="9" t="s">
        <v>589</v>
      </c>
      <c r="B36" s="9"/>
      <c r="C36" s="9"/>
      <c r="D36" s="9"/>
      <c r="E36" s="9"/>
      <c r="F36" s="9"/>
      <c r="G36" s="9"/>
      <c r="H36" s="9"/>
      <c r="I36" s="121">
        <f>SUM(I37:I39)</f>
        <v>-898.03273648307459</v>
      </c>
      <c r="J36" s="131">
        <f>894+37</f>
        <v>931</v>
      </c>
      <c r="K36" s="38">
        <f>J36+I36-L37-L38-L39</f>
        <v>-3.2736483074586431E-2</v>
      </c>
      <c r="L36" s="9"/>
    </row>
    <row r="37" spans="1:13" x14ac:dyDescent="0.35">
      <c r="A37" s="3" t="s">
        <v>547</v>
      </c>
      <c r="B37" s="133">
        <v>1</v>
      </c>
      <c r="C37" s="3">
        <v>314.40000000000003</v>
      </c>
      <c r="D37" s="3">
        <f t="shared" si="1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2"/>
        <v>308.93689082769157</v>
      </c>
      <c r="H37" s="123"/>
      <c r="I37" s="124">
        <f t="shared" si="3"/>
        <v>-308.93689082769157</v>
      </c>
      <c r="J37" s="6"/>
      <c r="K37" s="3"/>
      <c r="L37" s="3">
        <v>11</v>
      </c>
    </row>
    <row r="38" spans="1:13" x14ac:dyDescent="0.35">
      <c r="A38" s="3" t="s">
        <v>545</v>
      </c>
      <c r="B38" s="133">
        <v>1</v>
      </c>
      <c r="C38" s="3">
        <v>292</v>
      </c>
      <c r="D38" s="3">
        <f t="shared" si="1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2"/>
        <v>294.67525882769155</v>
      </c>
      <c r="H38" s="123"/>
      <c r="I38" s="124">
        <f t="shared" si="3"/>
        <v>-294.67525882769155</v>
      </c>
      <c r="J38" s="6"/>
      <c r="K38" s="3"/>
      <c r="L38" s="3">
        <v>11</v>
      </c>
    </row>
    <row r="39" spans="1:13" x14ac:dyDescent="0.35">
      <c r="A39" s="3" t="s">
        <v>546</v>
      </c>
      <c r="B39" s="133">
        <v>1</v>
      </c>
      <c r="C39" s="3">
        <v>291.59999999999997</v>
      </c>
      <c r="D39" s="3">
        <f t="shared" si="1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2"/>
        <v>294.42058682769152</v>
      </c>
      <c r="H39" s="123"/>
      <c r="I39" s="124">
        <f t="shared" si="3"/>
        <v>-294.42058682769152</v>
      </c>
      <c r="J39" s="6"/>
      <c r="K39" s="3"/>
      <c r="L39" s="3">
        <v>11</v>
      </c>
    </row>
    <row r="40" spans="1:13" x14ac:dyDescent="0.35">
      <c r="A40" s="9" t="s">
        <v>590</v>
      </c>
      <c r="B40" s="9"/>
      <c r="C40" s="9"/>
      <c r="D40" s="9"/>
      <c r="E40" s="9"/>
      <c r="F40" s="9"/>
      <c r="G40" s="9"/>
      <c r="H40" s="9"/>
      <c r="I40" s="121">
        <f>I41</f>
        <v>-308.93689082769157</v>
      </c>
      <c r="J40" s="131">
        <f>308+12</f>
        <v>320</v>
      </c>
      <c r="K40" s="38">
        <f>J40+I40-L41</f>
        <v>6.3109172308429606E-2</v>
      </c>
      <c r="L40" s="9"/>
    </row>
    <row r="41" spans="1:13" x14ac:dyDescent="0.35">
      <c r="A41" s="3" t="s">
        <v>547</v>
      </c>
      <c r="B41" s="133">
        <v>1</v>
      </c>
      <c r="C41" s="3">
        <v>314.40000000000003</v>
      </c>
      <c r="D41" s="3">
        <f t="shared" si="1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2"/>
        <v>308.93689082769157</v>
      </c>
      <c r="H41" s="123"/>
      <c r="I41" s="124">
        <f t="shared" si="3"/>
        <v>-308.93689082769157</v>
      </c>
      <c r="J41" s="6"/>
      <c r="K41" s="3"/>
      <c r="L41" s="3">
        <v>11</v>
      </c>
    </row>
    <row r="42" spans="1:13" x14ac:dyDescent="0.35">
      <c r="A42" s="9" t="s">
        <v>592</v>
      </c>
      <c r="B42" s="9"/>
      <c r="C42" s="9"/>
      <c r="D42" s="9"/>
      <c r="E42" s="9"/>
      <c r="F42" s="9"/>
      <c r="G42" s="9"/>
      <c r="H42" s="9"/>
      <c r="I42" s="121">
        <f>SUM(I43:I46)</f>
        <v>-2127.7197606215323</v>
      </c>
      <c r="J42" s="131">
        <f>2098+15+36</f>
        <v>2149</v>
      </c>
      <c r="K42" s="38">
        <f>J42+I42-L44-L45</f>
        <v>-0.71976062153225939</v>
      </c>
      <c r="L42" s="9"/>
    </row>
    <row r="43" spans="1:13" x14ac:dyDescent="0.35">
      <c r="A43" s="3" t="s">
        <v>593</v>
      </c>
      <c r="B43" s="133">
        <v>1</v>
      </c>
      <c r="C43" s="3">
        <v>628.80000000000007</v>
      </c>
      <c r="D43" s="3">
        <f t="shared" si="1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2"/>
        <v>617.87378165538314</v>
      </c>
      <c r="H43" s="123"/>
      <c r="I43" s="124">
        <f t="shared" si="3"/>
        <v>-617.87378165538314</v>
      </c>
      <c r="J43" s="6"/>
      <c r="K43" s="3"/>
      <c r="L43" s="3"/>
      <c r="M43" t="s">
        <v>566</v>
      </c>
    </row>
    <row r="44" spans="1:13" x14ac:dyDescent="0.35">
      <c r="A44" s="3" t="s">
        <v>546</v>
      </c>
      <c r="B44" s="133">
        <v>1</v>
      </c>
      <c r="C44" s="3">
        <v>291.59999999999997</v>
      </c>
      <c r="D44" s="3">
        <f t="shared" si="1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2"/>
        <v>294.42058682769152</v>
      </c>
      <c r="H44" s="123"/>
      <c r="I44" s="124">
        <f t="shared" si="3"/>
        <v>-294.42058682769152</v>
      </c>
      <c r="J44" s="6"/>
      <c r="K44" s="3"/>
      <c r="L44" s="3">
        <v>11</v>
      </c>
    </row>
    <row r="45" spans="1:13" x14ac:dyDescent="0.35">
      <c r="A45" s="3" t="s">
        <v>546</v>
      </c>
      <c r="B45" s="133">
        <v>1</v>
      </c>
      <c r="C45" s="3">
        <v>291.59999999999997</v>
      </c>
      <c r="D45" s="3">
        <f t="shared" si="1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2"/>
        <v>294.42058682769152</v>
      </c>
      <c r="H45" s="123"/>
      <c r="I45" s="124">
        <f t="shared" si="3"/>
        <v>-294.42058682769152</v>
      </c>
      <c r="J45" s="6"/>
      <c r="K45" s="3"/>
      <c r="L45" s="3">
        <v>11</v>
      </c>
    </row>
    <row r="46" spans="1:13" x14ac:dyDescent="0.35">
      <c r="A46" s="3" t="s">
        <v>594</v>
      </c>
      <c r="B46" s="133">
        <v>1</v>
      </c>
      <c r="C46" s="101">
        <f>3053/1600*400</f>
        <v>763.25</v>
      </c>
      <c r="D46" s="3">
        <f t="shared" si="1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3"/>
      <c r="I46" s="124">
        <f t="shared" si="3"/>
        <v>-921.00480531076619</v>
      </c>
      <c r="J46" s="6"/>
      <c r="K46" s="3"/>
      <c r="L46" s="3"/>
      <c r="M46" t="s">
        <v>566</v>
      </c>
    </row>
    <row r="47" spans="1:13" x14ac:dyDescent="0.35">
      <c r="A47" s="9" t="s">
        <v>595</v>
      </c>
      <c r="B47" s="9"/>
      <c r="C47" s="9"/>
      <c r="D47" s="9"/>
      <c r="E47" s="9"/>
      <c r="F47" s="9"/>
      <c r="G47" s="9"/>
      <c r="H47" s="9"/>
      <c r="I47" s="121">
        <f>SUM(I48:I49)</f>
        <v>-2814.7490694492244</v>
      </c>
      <c r="J47" s="131">
        <f>2803+23</f>
        <v>2826</v>
      </c>
      <c r="K47" s="38">
        <f>J47+I47-L48</f>
        <v>0.25093055077559256</v>
      </c>
      <c r="L47" s="9"/>
    </row>
    <row r="48" spans="1:13" x14ac:dyDescent="0.35">
      <c r="A48" s="3" t="s">
        <v>593</v>
      </c>
      <c r="B48" s="133">
        <v>1</v>
      </c>
      <c r="C48" s="3">
        <v>628.80000000000007</v>
      </c>
      <c r="D48" s="3">
        <f t="shared" si="1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2"/>
        <v>617.87378165538314</v>
      </c>
      <c r="H48" s="123"/>
      <c r="I48" s="124">
        <f t="shared" si="3"/>
        <v>-617.87378165538314</v>
      </c>
      <c r="J48" s="6"/>
      <c r="K48" s="3"/>
      <c r="L48" s="3">
        <v>11</v>
      </c>
    </row>
    <row r="49" spans="1:13" x14ac:dyDescent="0.35">
      <c r="A49" s="3" t="s">
        <v>596</v>
      </c>
      <c r="B49" s="133">
        <v>1</v>
      </c>
      <c r="C49" s="3">
        <v>2254.7000000000003</v>
      </c>
      <c r="D49" s="3">
        <f t="shared" si="1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2"/>
        <v>2196.8752877938414</v>
      </c>
      <c r="H49" s="123"/>
      <c r="I49" s="124">
        <f t="shared" si="3"/>
        <v>-2196.8752877938414</v>
      </c>
      <c r="J49" s="6"/>
      <c r="K49" s="3"/>
      <c r="L49" s="3"/>
      <c r="M49" t="s">
        <v>566</v>
      </c>
    </row>
    <row r="50" spans="1:13" x14ac:dyDescent="0.35">
      <c r="A50" s="9" t="s">
        <v>597</v>
      </c>
      <c r="B50" s="9"/>
      <c r="C50" s="9"/>
      <c r="D50" s="9"/>
      <c r="E50" s="9"/>
      <c r="F50" s="9"/>
      <c r="G50" s="9"/>
      <c r="H50" s="9"/>
      <c r="I50" s="121">
        <f>I51</f>
        <v>-1178.7010353107662</v>
      </c>
      <c r="J50" s="131">
        <f>1173+5</f>
        <v>1178</v>
      </c>
      <c r="K50" s="38">
        <f t="shared" si="0"/>
        <v>-0.70103531076620129</v>
      </c>
      <c r="L50" s="9"/>
    </row>
    <row r="51" spans="1:13" x14ac:dyDescent="0.35">
      <c r="A51" s="3" t="s">
        <v>548</v>
      </c>
      <c r="B51" s="133">
        <v>1</v>
      </c>
      <c r="C51" s="3">
        <v>1168</v>
      </c>
      <c r="D51" s="3">
        <f t="shared" si="1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2"/>
        <v>1178.7010353107662</v>
      </c>
      <c r="H51" s="123"/>
      <c r="I51" s="124">
        <f t="shared" si="3"/>
        <v>-1178.7010353107662</v>
      </c>
      <c r="J51" s="6"/>
      <c r="K51" s="3"/>
      <c r="L51" s="3"/>
      <c r="M51" t="s">
        <v>566</v>
      </c>
    </row>
    <row r="52" spans="1:13" x14ac:dyDescent="0.35">
      <c r="A52" s="9" t="s">
        <v>68</v>
      </c>
      <c r="B52" s="9"/>
      <c r="C52" s="9"/>
      <c r="D52" s="9"/>
      <c r="E52" s="9"/>
      <c r="F52" s="9"/>
      <c r="G52" s="9"/>
      <c r="H52" s="9"/>
      <c r="I52" s="121">
        <f>I53</f>
        <v>-884.02577648307465</v>
      </c>
      <c r="J52" s="131">
        <f>880+8</f>
        <v>888</v>
      </c>
      <c r="K52" s="38">
        <f>J52+I52-L53</f>
        <v>-7.025776483074651</v>
      </c>
      <c r="L52" s="9"/>
    </row>
    <row r="53" spans="1:13" x14ac:dyDescent="0.35">
      <c r="A53" s="3" t="s">
        <v>541</v>
      </c>
      <c r="B53" s="133">
        <v>1</v>
      </c>
      <c r="C53" s="3">
        <v>876</v>
      </c>
      <c r="D53" s="3">
        <f t="shared" si="1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2"/>
        <v>884.02577648307465</v>
      </c>
      <c r="H53" s="123"/>
      <c r="I53" s="124">
        <f t="shared" si="3"/>
        <v>-884.02577648307465</v>
      </c>
      <c r="J53" s="6"/>
      <c r="K53" s="3"/>
      <c r="L53" s="3">
        <v>11</v>
      </c>
    </row>
    <row r="54" spans="1:13" x14ac:dyDescent="0.35">
      <c r="A54" s="9" t="s">
        <v>438</v>
      </c>
      <c r="B54" s="9"/>
      <c r="C54" s="9"/>
      <c r="D54" s="9"/>
      <c r="E54" s="9"/>
      <c r="F54" s="9"/>
      <c r="G54" s="9"/>
      <c r="H54" s="9"/>
      <c r="I54" s="121">
        <f>I55+I56</f>
        <v>-1049.8529203107662</v>
      </c>
      <c r="J54" s="131">
        <v>891</v>
      </c>
      <c r="K54" s="38">
        <f>J54+I54-L55-L56</f>
        <v>-180.85292031076619</v>
      </c>
      <c r="L54" s="9"/>
    </row>
    <row r="55" spans="1:13" x14ac:dyDescent="0.35">
      <c r="A55" s="3" t="s">
        <v>523</v>
      </c>
      <c r="B55" s="133">
        <v>1</v>
      </c>
      <c r="C55" s="3">
        <v>584</v>
      </c>
      <c r="D55" s="3">
        <f t="shared" si="1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2"/>
        <v>589.3505176553831</v>
      </c>
      <c r="H55" s="123"/>
      <c r="I55" s="124">
        <f t="shared" si="3"/>
        <v>-589.3505176553831</v>
      </c>
      <c r="J55" s="6"/>
      <c r="K55" s="3"/>
      <c r="L55" s="3">
        <v>11</v>
      </c>
    </row>
    <row r="56" spans="1:13" x14ac:dyDescent="0.35">
      <c r="A56" s="3" t="s">
        <v>587</v>
      </c>
      <c r="B56" s="133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3"/>
      <c r="I56" s="124">
        <f>H56-G56</f>
        <v>-460.50240265538309</v>
      </c>
      <c r="J56" s="6"/>
      <c r="K56" s="3"/>
      <c r="L56" s="3">
        <v>11</v>
      </c>
    </row>
    <row r="57" spans="1:13" x14ac:dyDescent="0.35">
      <c r="A57" s="9" t="s">
        <v>378</v>
      </c>
      <c r="B57" s="9"/>
      <c r="C57" s="9"/>
      <c r="D57" s="9"/>
      <c r="E57" s="9"/>
      <c r="F57" s="9"/>
      <c r="G57" s="9"/>
      <c r="H57" s="9"/>
      <c r="I57" s="121">
        <f>SUM(I58:I60)</f>
        <v>-2022.4244423219498</v>
      </c>
      <c r="J57" s="131">
        <f>1982+11</f>
        <v>1993</v>
      </c>
      <c r="K57" s="38">
        <f>J57+I57-L58</f>
        <v>-40.424442321949755</v>
      </c>
      <c r="L57" s="9"/>
    </row>
    <row r="58" spans="1:13" x14ac:dyDescent="0.35">
      <c r="A58" s="3" t="s">
        <v>598</v>
      </c>
      <c r="B58" s="133">
        <v>1</v>
      </c>
      <c r="C58" s="3">
        <v>322.10000000000002</v>
      </c>
      <c r="D58" s="3">
        <f t="shared" si="1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2"/>
        <v>313.83932682769154</v>
      </c>
      <c r="H58" s="123"/>
      <c r="I58" s="124">
        <f t="shared" si="3"/>
        <v>-313.83932682769154</v>
      </c>
      <c r="J58" s="6"/>
      <c r="K58" s="3"/>
      <c r="L58" s="3">
        <v>11</v>
      </c>
    </row>
    <row r="59" spans="1:13" x14ac:dyDescent="0.35">
      <c r="A59" s="135" t="s">
        <v>599</v>
      </c>
      <c r="B59" s="3">
        <v>1</v>
      </c>
      <c r="C59" s="3">
        <v>896</v>
      </c>
      <c r="D59" s="3">
        <f t="shared" si="1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2"/>
        <v>742.59723814469453</v>
      </c>
      <c r="H59" s="123"/>
      <c r="I59" s="124">
        <f t="shared" si="3"/>
        <v>-742.59723814469453</v>
      </c>
      <c r="J59" s="6"/>
      <c r="K59" s="3"/>
      <c r="L59" s="3"/>
    </row>
    <row r="60" spans="1:13" x14ac:dyDescent="0.35">
      <c r="A60" s="135" t="s">
        <v>600</v>
      </c>
      <c r="B60" s="3">
        <v>1</v>
      </c>
      <c r="C60" s="3">
        <v>1131</v>
      </c>
      <c r="D60" s="3">
        <f t="shared" si="1"/>
        <v>113.10000000000001</v>
      </c>
      <c r="E60" s="3">
        <f>0.2*1.3</f>
        <v>0.26</v>
      </c>
      <c r="F60" s="3">
        <f>E60/$E$94*$F$94</f>
        <v>424.84933889005458</v>
      </c>
      <c r="G60" s="3">
        <f t="shared" si="2"/>
        <v>965.98787734956352</v>
      </c>
      <c r="H60" s="123"/>
      <c r="I60" s="124">
        <f t="shared" si="3"/>
        <v>-965.98787734956352</v>
      </c>
      <c r="J60" s="6"/>
      <c r="K60" s="3"/>
      <c r="L60" s="3"/>
    </row>
    <row r="61" spans="1:13" x14ac:dyDescent="0.35">
      <c r="A61" s="9" t="s">
        <v>601</v>
      </c>
      <c r="B61" s="9"/>
      <c r="C61" s="9"/>
      <c r="D61" s="9"/>
      <c r="E61" s="9"/>
      <c r="F61" s="9"/>
      <c r="G61" s="9"/>
      <c r="H61" s="9"/>
      <c r="I61" s="121">
        <f>I62</f>
        <v>-627.67865365538307</v>
      </c>
      <c r="J61" s="131">
        <f>625+14</f>
        <v>639</v>
      </c>
      <c r="K61" s="38">
        <f>J61+I61-L62</f>
        <v>0.32134634461692713</v>
      </c>
      <c r="L61" s="9"/>
    </row>
    <row r="62" spans="1:13" x14ac:dyDescent="0.35">
      <c r="A62" s="3" t="s">
        <v>602</v>
      </c>
      <c r="B62" s="133">
        <v>1</v>
      </c>
      <c r="C62" s="3">
        <v>644.20000000000005</v>
      </c>
      <c r="D62" s="3">
        <f t="shared" si="1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2"/>
        <v>627.67865365538307</v>
      </c>
      <c r="H62" s="123"/>
      <c r="I62" s="124">
        <f t="shared" si="3"/>
        <v>-627.67865365538307</v>
      </c>
      <c r="J62" s="6"/>
      <c r="K62" s="3"/>
      <c r="L62" s="3">
        <v>11</v>
      </c>
    </row>
    <row r="63" spans="1:13" x14ac:dyDescent="0.35">
      <c r="A63" s="9" t="s">
        <v>603</v>
      </c>
      <c r="B63" s="9"/>
      <c r="C63" s="9"/>
      <c r="D63" s="9"/>
      <c r="E63" s="9"/>
      <c r="F63" s="9"/>
      <c r="G63" s="9"/>
      <c r="H63" s="9"/>
      <c r="I63" s="121">
        <f>I64</f>
        <v>-501.99802165538313</v>
      </c>
      <c r="J63" s="131">
        <v>499</v>
      </c>
      <c r="K63" s="38">
        <f>J63+I63-L64</f>
        <v>-13.998021655383127</v>
      </c>
      <c r="L63" s="9"/>
    </row>
    <row r="64" spans="1:13" x14ac:dyDescent="0.35">
      <c r="A64" s="3" t="s">
        <v>604</v>
      </c>
      <c r="B64" s="133">
        <v>1</v>
      </c>
      <c r="C64" s="3">
        <v>446.8</v>
      </c>
      <c r="D64" s="3">
        <f t="shared" si="1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2"/>
        <v>501.99802165538313</v>
      </c>
      <c r="H64" s="123"/>
      <c r="I64" s="124">
        <f t="shared" si="3"/>
        <v>-501.99802165538313</v>
      </c>
      <c r="J64" s="6"/>
      <c r="K64" s="3"/>
      <c r="L64" s="3">
        <v>11</v>
      </c>
    </row>
    <row r="65" spans="1:13" x14ac:dyDescent="0.35">
      <c r="A65" s="9" t="s">
        <v>393</v>
      </c>
      <c r="B65" s="9"/>
      <c r="C65" s="9"/>
      <c r="D65" s="9"/>
      <c r="E65" s="9"/>
      <c r="F65" s="9"/>
      <c r="G65" s="9"/>
      <c r="H65" s="9"/>
      <c r="I65" s="121">
        <f>I66+I67</f>
        <v>-1844.128609170029</v>
      </c>
      <c r="J65" s="131">
        <f>1826+18</f>
        <v>1844</v>
      </c>
      <c r="K65" s="38">
        <f>J65+I65-L66</f>
        <v>-11.128609170028994</v>
      </c>
      <c r="L65" s="9"/>
    </row>
    <row r="66" spans="1:13" x14ac:dyDescent="0.35">
      <c r="A66" s="3" t="s">
        <v>605</v>
      </c>
      <c r="B66" s="133">
        <v>1</v>
      </c>
      <c r="C66" s="3">
        <v>670.2</v>
      </c>
      <c r="D66" s="3">
        <f t="shared" ref="D66:D93" si="4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5">(C66)*$B$1+D66*$B$1+F66*$B$1</f>
        <v>752.99703248307469</v>
      </c>
      <c r="H66" s="123"/>
      <c r="I66" s="124">
        <f t="shared" ref="I66:I93" si="6">H66-G66</f>
        <v>-752.99703248307469</v>
      </c>
      <c r="J66" s="6"/>
      <c r="K66" s="3"/>
      <c r="L66" s="3">
        <v>11</v>
      </c>
    </row>
    <row r="67" spans="1:13" x14ac:dyDescent="0.35">
      <c r="A67" s="135" t="s">
        <v>606</v>
      </c>
      <c r="B67" s="3">
        <v>1</v>
      </c>
      <c r="C67" s="3">
        <v>1231</v>
      </c>
      <c r="D67" s="3">
        <f t="shared" si="4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5"/>
        <v>1091.1315766869543</v>
      </c>
      <c r="H67" s="123"/>
      <c r="I67" s="124">
        <f t="shared" si="6"/>
        <v>-1091.1315766869543</v>
      </c>
      <c r="J67" s="6"/>
      <c r="K67" s="3"/>
      <c r="L67" s="3"/>
    </row>
    <row r="68" spans="1:13" x14ac:dyDescent="0.35">
      <c r="A68" s="9" t="s">
        <v>591</v>
      </c>
      <c r="B68" s="9"/>
      <c r="C68" s="9"/>
      <c r="D68" s="9"/>
      <c r="E68" s="9"/>
      <c r="F68" s="9"/>
      <c r="G68" s="9"/>
      <c r="H68" s="9"/>
      <c r="I68" s="121">
        <f>SUM(I69:I71)</f>
        <v>-1901.7741077938408</v>
      </c>
      <c r="J68" s="131">
        <f>1890+34</f>
        <v>1924</v>
      </c>
      <c r="K68" s="38">
        <f>J68+I68-L69-L71</f>
        <v>0.22589220615918748</v>
      </c>
      <c r="L68" s="9"/>
    </row>
    <row r="69" spans="1:13" x14ac:dyDescent="0.35">
      <c r="A69" s="3" t="s">
        <v>547</v>
      </c>
      <c r="B69" s="133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3"/>
      <c r="I69" s="124">
        <f>H69-G69</f>
        <v>-308.93689082769157</v>
      </c>
      <c r="J69" s="6"/>
      <c r="K69" s="3"/>
      <c r="L69" s="3">
        <v>11</v>
      </c>
    </row>
    <row r="70" spans="1:13" x14ac:dyDescent="0.35">
      <c r="A70" s="3" t="s">
        <v>607</v>
      </c>
      <c r="B70" s="133">
        <v>1</v>
      </c>
      <c r="C70" s="3">
        <v>893.6</v>
      </c>
      <c r="D70" s="3">
        <f t="shared" si="4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5"/>
        <v>1003.9960433107663</v>
      </c>
      <c r="H70" s="123"/>
      <c r="I70" s="124">
        <f t="shared" si="6"/>
        <v>-1003.9960433107663</v>
      </c>
      <c r="J70" s="6"/>
      <c r="K70" s="3"/>
      <c r="L70" s="3"/>
      <c r="M70" t="s">
        <v>566</v>
      </c>
    </row>
    <row r="71" spans="1:13" x14ac:dyDescent="0.35">
      <c r="A71" s="3" t="s">
        <v>530</v>
      </c>
      <c r="B71" s="133">
        <v>1</v>
      </c>
      <c r="C71" s="3">
        <v>583.19999999999993</v>
      </c>
      <c r="D71" s="3">
        <f t="shared" si="4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5"/>
        <v>588.84117365538305</v>
      </c>
      <c r="H71" s="123"/>
      <c r="I71" s="124">
        <f t="shared" si="6"/>
        <v>-588.84117365538305</v>
      </c>
      <c r="J71" s="6"/>
      <c r="K71" s="3"/>
      <c r="L71" s="3">
        <v>11</v>
      </c>
    </row>
    <row r="72" spans="1:13" x14ac:dyDescent="0.35">
      <c r="A72" s="9" t="s">
        <v>399</v>
      </c>
      <c r="B72" s="9"/>
      <c r="C72" s="9"/>
      <c r="D72" s="9"/>
      <c r="E72" s="9"/>
      <c r="F72" s="9"/>
      <c r="G72" s="9"/>
      <c r="H72" s="9"/>
      <c r="I72" s="121">
        <f>I73+I74</f>
        <v>-1685.8669036471676</v>
      </c>
      <c r="J72" s="131">
        <f>1687+9</f>
        <v>1696</v>
      </c>
      <c r="K72" s="38">
        <f>J72+I72-L73</f>
        <v>-0.86690364716764634</v>
      </c>
      <c r="L72" s="9"/>
    </row>
    <row r="73" spans="1:13" x14ac:dyDescent="0.35">
      <c r="A73" s="3" t="s">
        <v>546</v>
      </c>
      <c r="B73" s="133">
        <v>1</v>
      </c>
      <c r="C73" s="3">
        <v>291.59999999999997</v>
      </c>
      <c r="D73" s="3">
        <f t="shared" si="4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5"/>
        <v>294.42058682769152</v>
      </c>
      <c r="H73" s="123"/>
      <c r="I73" s="124">
        <f t="shared" si="6"/>
        <v>-294.42058682769152</v>
      </c>
      <c r="J73" s="6"/>
      <c r="K73" s="3"/>
      <c r="L73" s="3">
        <v>11</v>
      </c>
    </row>
    <row r="74" spans="1:13" x14ac:dyDescent="0.35">
      <c r="A74" s="98" t="s">
        <v>608</v>
      </c>
      <c r="B74" s="3">
        <v>1</v>
      </c>
      <c r="C74" s="3">
        <v>1722</v>
      </c>
      <c r="D74" s="3">
        <f t="shared" si="4"/>
        <v>172.20000000000002</v>
      </c>
      <c r="E74" s="3">
        <f>0.24*1.3</f>
        <v>0.312</v>
      </c>
      <c r="F74" s="3">
        <f>E74/$E$94*$F$94</f>
        <v>509.81920666806548</v>
      </c>
      <c r="G74" s="3">
        <f t="shared" si="5"/>
        <v>1391.4463168194761</v>
      </c>
      <c r="H74" s="123"/>
      <c r="I74" s="124">
        <f t="shared" si="6"/>
        <v>-1391.4463168194761</v>
      </c>
      <c r="J74" s="6"/>
      <c r="K74" s="3"/>
      <c r="L74" s="3"/>
    </row>
    <row r="75" spans="1:13" x14ac:dyDescent="0.35">
      <c r="A75" s="9" t="s">
        <v>609</v>
      </c>
      <c r="B75" s="9"/>
      <c r="C75" s="9"/>
      <c r="D75" s="9"/>
      <c r="E75" s="9"/>
      <c r="F75" s="9"/>
      <c r="G75" s="9"/>
      <c r="H75" s="9"/>
      <c r="I75" s="121">
        <f>I76</f>
        <v>-883.2617604830748</v>
      </c>
      <c r="J75" s="131">
        <f>879+15</f>
        <v>894</v>
      </c>
      <c r="K75" s="38">
        <f>J75+I75-L76</f>
        <v>-0.26176048307479505</v>
      </c>
      <c r="L75" s="9"/>
      <c r="M75" t="s">
        <v>566</v>
      </c>
    </row>
    <row r="76" spans="1:13" x14ac:dyDescent="0.35">
      <c r="A76" s="3" t="s">
        <v>549</v>
      </c>
      <c r="B76" s="133">
        <v>1</v>
      </c>
      <c r="C76" s="3">
        <v>874.8</v>
      </c>
      <c r="D76" s="3">
        <f t="shared" si="4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5"/>
        <v>883.2617604830748</v>
      </c>
      <c r="H76" s="123"/>
      <c r="I76" s="124">
        <f t="shared" si="6"/>
        <v>-883.2617604830748</v>
      </c>
      <c r="J76" s="6"/>
      <c r="K76" s="3"/>
      <c r="L76" s="3">
        <v>11</v>
      </c>
    </row>
    <row r="77" spans="1:13" x14ac:dyDescent="0.35">
      <c r="A77" s="9" t="s">
        <v>610</v>
      </c>
      <c r="B77" s="9"/>
      <c r="C77" s="9"/>
      <c r="D77" s="9"/>
      <c r="E77" s="9"/>
      <c r="F77" s="9"/>
      <c r="G77" s="9"/>
      <c r="H77" s="9"/>
      <c r="I77" s="121">
        <f>I78+I79</f>
        <v>-524.67178815538307</v>
      </c>
      <c r="J77" s="131">
        <v>514</v>
      </c>
      <c r="K77" s="38">
        <f>J77+I77-L78-L79</f>
        <v>-32.671788155383069</v>
      </c>
      <c r="L77" s="9"/>
    </row>
    <row r="78" spans="1:13" x14ac:dyDescent="0.35">
      <c r="A78" s="3" t="s">
        <v>546</v>
      </c>
      <c r="B78" s="133">
        <v>1</v>
      </c>
      <c r="C78" s="3">
        <v>291.59999999999997</v>
      </c>
      <c r="D78" s="3">
        <f t="shared" si="4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5"/>
        <v>294.42058682769152</v>
      </c>
      <c r="H78" s="123"/>
      <c r="I78" s="124">
        <f t="shared" si="6"/>
        <v>-294.42058682769152</v>
      </c>
      <c r="J78" s="6"/>
      <c r="K78" s="3"/>
      <c r="L78" s="3">
        <v>11</v>
      </c>
    </row>
    <row r="79" spans="1:13" x14ac:dyDescent="0.35">
      <c r="A79" s="3" t="s">
        <v>611</v>
      </c>
      <c r="B79" s="133">
        <v>1</v>
      </c>
      <c r="C79" s="3">
        <v>190.8125</v>
      </c>
      <c r="D79" s="3">
        <f t="shared" si="4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5"/>
        <v>230.25120132769155</v>
      </c>
      <c r="H79" s="123"/>
      <c r="I79" s="124">
        <f t="shared" si="6"/>
        <v>-230.25120132769155</v>
      </c>
      <c r="J79" s="6"/>
      <c r="K79" s="3"/>
      <c r="L79" s="3">
        <v>11</v>
      </c>
    </row>
    <row r="80" spans="1:13" x14ac:dyDescent="0.35">
      <c r="A80" s="9" t="s">
        <v>612</v>
      </c>
      <c r="B80" s="9"/>
      <c r="C80" s="9"/>
      <c r="D80" s="9"/>
      <c r="E80" s="9"/>
      <c r="F80" s="9"/>
      <c r="G80" s="9"/>
      <c r="H80" s="9"/>
      <c r="I80" s="121">
        <f>I81</f>
        <v>-588.84117365538305</v>
      </c>
      <c r="J80" s="131">
        <f>586+14</f>
        <v>600</v>
      </c>
      <c r="K80" s="38">
        <f>J80+I80-L81</f>
        <v>0.15882634461695488</v>
      </c>
      <c r="L80" s="9"/>
    </row>
    <row r="81" spans="1:13" x14ac:dyDescent="0.35">
      <c r="A81" s="3" t="s">
        <v>530</v>
      </c>
      <c r="B81" s="133">
        <v>1</v>
      </c>
      <c r="C81" s="3">
        <v>583.19999999999993</v>
      </c>
      <c r="D81" s="3">
        <f t="shared" si="4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5"/>
        <v>588.84117365538305</v>
      </c>
      <c r="H81" s="123"/>
      <c r="I81" s="124">
        <f t="shared" si="6"/>
        <v>-588.84117365538305</v>
      </c>
      <c r="J81" s="6"/>
      <c r="K81" s="3"/>
      <c r="L81" s="3">
        <v>11</v>
      </c>
    </row>
    <row r="82" spans="1:13" x14ac:dyDescent="0.35">
      <c r="A82" s="9" t="s">
        <v>613</v>
      </c>
      <c r="B82" s="9"/>
      <c r="C82" s="9"/>
      <c r="D82" s="9"/>
      <c r="E82" s="9"/>
      <c r="F82" s="9"/>
      <c r="G82" s="9"/>
      <c r="H82" s="9"/>
      <c r="I82" s="121">
        <f>I83</f>
        <v>-883.2617604830748</v>
      </c>
      <c r="J82" s="131">
        <f>879+4</f>
        <v>883</v>
      </c>
      <c r="K82" s="38">
        <f t="shared" ref="K82" si="7">J82+I82</f>
        <v>-0.26176048307479505</v>
      </c>
      <c r="L82" s="9"/>
    </row>
    <row r="83" spans="1:13" x14ac:dyDescent="0.35">
      <c r="A83" s="3" t="s">
        <v>549</v>
      </c>
      <c r="B83" s="133">
        <v>1</v>
      </c>
      <c r="C83" s="3">
        <v>874.8</v>
      </c>
      <c r="D83" s="3">
        <f t="shared" si="4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5"/>
        <v>883.2617604830748</v>
      </c>
      <c r="H83" s="123"/>
      <c r="I83" s="124">
        <f t="shared" si="6"/>
        <v>-883.2617604830748</v>
      </c>
      <c r="J83" s="6"/>
      <c r="K83" s="3"/>
      <c r="L83" s="3"/>
      <c r="M83" t="s">
        <v>566</v>
      </c>
    </row>
    <row r="84" spans="1:13" x14ac:dyDescent="0.35">
      <c r="A84" s="9" t="s">
        <v>614</v>
      </c>
      <c r="B84" s="9"/>
      <c r="C84" s="9"/>
      <c r="D84" s="9"/>
      <c r="E84" s="9"/>
      <c r="F84" s="9"/>
      <c r="G84" s="9"/>
      <c r="H84" s="9"/>
      <c r="I84" s="121">
        <f>I85</f>
        <v>-588.84117365538305</v>
      </c>
      <c r="J84" s="131">
        <f>586+14</f>
        <v>600</v>
      </c>
      <c r="K84" s="38">
        <f>J84+I84-L85</f>
        <v>0.15882634461695488</v>
      </c>
      <c r="L84" s="9"/>
    </row>
    <row r="85" spans="1:13" x14ac:dyDescent="0.35">
      <c r="A85" s="3" t="s">
        <v>530</v>
      </c>
      <c r="B85" s="133">
        <v>1</v>
      </c>
      <c r="C85" s="3">
        <v>583.19999999999993</v>
      </c>
      <c r="D85" s="3">
        <f t="shared" si="4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5"/>
        <v>588.84117365538305</v>
      </c>
      <c r="H85" s="123"/>
      <c r="I85" s="124">
        <f t="shared" si="6"/>
        <v>-588.84117365538305</v>
      </c>
      <c r="J85" s="6"/>
      <c r="K85" s="3"/>
      <c r="L85" s="3">
        <v>11</v>
      </c>
    </row>
    <row r="86" spans="1:13" x14ac:dyDescent="0.35">
      <c r="A86" s="9" t="s">
        <v>615</v>
      </c>
      <c r="B86" s="9"/>
      <c r="C86" s="9"/>
      <c r="D86" s="9"/>
      <c r="E86" s="9"/>
      <c r="F86" s="9"/>
      <c r="G86" s="9"/>
      <c r="H86" s="9"/>
      <c r="I86" s="121">
        <f>I87</f>
        <v>-588.84117365538305</v>
      </c>
      <c r="J86" s="131">
        <f>586+14</f>
        <v>600</v>
      </c>
      <c r="K86" s="38">
        <f>J86+I86-L87</f>
        <v>0.15882634461695488</v>
      </c>
      <c r="L86" s="9"/>
    </row>
    <row r="87" spans="1:13" x14ac:dyDescent="0.35">
      <c r="A87" s="3" t="s">
        <v>530</v>
      </c>
      <c r="B87" s="133">
        <v>1</v>
      </c>
      <c r="C87" s="3">
        <v>583.19999999999993</v>
      </c>
      <c r="D87" s="3">
        <f t="shared" si="4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5"/>
        <v>588.84117365538305</v>
      </c>
      <c r="H87" s="123"/>
      <c r="I87" s="124">
        <f t="shared" si="6"/>
        <v>-588.84117365538305</v>
      </c>
      <c r="J87" s="6"/>
      <c r="K87" s="3"/>
      <c r="L87" s="3">
        <v>11</v>
      </c>
    </row>
    <row r="88" spans="1:13" x14ac:dyDescent="0.35">
      <c r="A88" s="9" t="s">
        <v>351</v>
      </c>
      <c r="B88" s="9"/>
      <c r="C88" s="9"/>
      <c r="D88" s="9"/>
      <c r="E88" s="9"/>
      <c r="F88" s="9"/>
      <c r="G88" s="9"/>
      <c r="H88" s="9"/>
      <c r="I88" s="121">
        <f>I89</f>
        <v>-921.00480531076619</v>
      </c>
      <c r="J88" s="131">
        <f>912+24</f>
        <v>936</v>
      </c>
      <c r="K88" s="38">
        <f>J88+I88-L89</f>
        <v>-7.0048053107661872</v>
      </c>
      <c r="L88" s="9"/>
    </row>
    <row r="89" spans="1:13" x14ac:dyDescent="0.35">
      <c r="A89" s="3" t="s">
        <v>594</v>
      </c>
      <c r="B89" s="133">
        <v>1</v>
      </c>
      <c r="C89" s="101">
        <f>3053/1600*400</f>
        <v>763.25</v>
      </c>
      <c r="D89" s="3">
        <f t="shared" si="4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5"/>
        <v>921.00480531076619</v>
      </c>
      <c r="H89" s="123"/>
      <c r="I89" s="124">
        <f t="shared" si="6"/>
        <v>-921.00480531076619</v>
      </c>
      <c r="J89" s="6"/>
      <c r="K89" s="3"/>
      <c r="L89" s="3">
        <v>22</v>
      </c>
    </row>
    <row r="90" spans="1:13" x14ac:dyDescent="0.35">
      <c r="A90" s="9" t="s">
        <v>441</v>
      </c>
      <c r="B90" s="9"/>
      <c r="C90" s="9"/>
      <c r="D90" s="9"/>
      <c r="E90" s="9"/>
      <c r="F90" s="9"/>
      <c r="G90" s="9"/>
      <c r="H90" s="9"/>
      <c r="I90" s="121">
        <f>I91</f>
        <v>-460.50240265538309</v>
      </c>
      <c r="J90" s="131">
        <f>331+140</f>
        <v>471</v>
      </c>
      <c r="K90" s="38">
        <f>J90+I90-L91</f>
        <v>-0.50240265538309359</v>
      </c>
      <c r="L90" s="9"/>
    </row>
    <row r="91" spans="1:13" x14ac:dyDescent="0.35">
      <c r="A91" s="3" t="s">
        <v>587</v>
      </c>
      <c r="B91" s="133">
        <v>1</v>
      </c>
      <c r="C91" s="3">
        <v>381.625</v>
      </c>
      <c r="D91" s="3">
        <f t="shared" si="4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5"/>
        <v>460.50240265538309</v>
      </c>
      <c r="H91" s="123"/>
      <c r="I91" s="124">
        <f t="shared" si="6"/>
        <v>-460.50240265538309</v>
      </c>
      <c r="J91" s="6"/>
      <c r="K91" s="3"/>
      <c r="L91" s="3">
        <v>11</v>
      </c>
    </row>
    <row r="92" spans="1:13" x14ac:dyDescent="0.35">
      <c r="A92" s="9" t="s">
        <v>616</v>
      </c>
      <c r="B92" s="9"/>
      <c r="C92" s="9"/>
      <c r="D92" s="9"/>
      <c r="E92" s="9"/>
      <c r="F92" s="9"/>
      <c r="G92" s="9"/>
      <c r="H92" s="9"/>
      <c r="I92" s="121">
        <f>I93</f>
        <v>-230.25120132769155</v>
      </c>
      <c r="J92" s="131">
        <f>228+13</f>
        <v>241</v>
      </c>
      <c r="K92" s="38">
        <f>J92+I92-L93</f>
        <v>-0.25120132769154679</v>
      </c>
      <c r="L92" s="9"/>
    </row>
    <row r="93" spans="1:13" x14ac:dyDescent="0.35">
      <c r="A93" s="3" t="s">
        <v>611</v>
      </c>
      <c r="B93" s="133">
        <v>1</v>
      </c>
      <c r="C93" s="3">
        <v>190.8125</v>
      </c>
      <c r="D93" s="3">
        <f t="shared" si="4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5"/>
        <v>230.25120132769155</v>
      </c>
      <c r="H93" s="123"/>
      <c r="I93" s="124">
        <f t="shared" si="6"/>
        <v>-230.25120132769155</v>
      </c>
      <c r="J93" s="6"/>
      <c r="K93" s="3"/>
      <c r="L93" s="3">
        <v>11</v>
      </c>
    </row>
    <row r="94" spans="1:13" x14ac:dyDescent="0.3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3"/>
      <c r="I94" s="122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58" zoomScale="80" zoomScaleNormal="80" workbookViewId="0">
      <selection activeCell="A69" sqref="A69"/>
    </sheetView>
  </sheetViews>
  <sheetFormatPr defaultRowHeight="14.5" x14ac:dyDescent="0.35"/>
  <cols>
    <col min="1" max="1" width="43.7265625" customWidth="1"/>
    <col min="5" max="5" width="16.26953125" customWidth="1"/>
    <col min="6" max="6" width="12.1796875" customWidth="1"/>
    <col min="11" max="11" width="13" customWidth="1"/>
  </cols>
  <sheetData>
    <row r="1" spans="1:13" x14ac:dyDescent="0.3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7">
        <v>43245</v>
      </c>
    </row>
    <row r="2" spans="1:13" ht="21" x14ac:dyDescent="0.5">
      <c r="A2" s="8" t="s">
        <v>267</v>
      </c>
      <c r="B2" s="41"/>
      <c r="I2" s="41"/>
      <c r="J2" s="41"/>
      <c r="K2" s="37"/>
    </row>
    <row r="3" spans="1:13" ht="43.5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35">
      <c r="A4" s="9" t="s">
        <v>30</v>
      </c>
      <c r="B4" s="9"/>
      <c r="C4" s="9"/>
      <c r="D4" s="9"/>
      <c r="E4" s="9"/>
      <c r="F4" s="9"/>
      <c r="G4" s="9"/>
      <c r="H4" s="9"/>
      <c r="I4" s="121"/>
      <c r="J4" s="9"/>
      <c r="K4" s="38"/>
      <c r="L4" s="9"/>
    </row>
    <row r="5" spans="1:13" x14ac:dyDescent="0.35">
      <c r="A5" s="18" t="s">
        <v>611</v>
      </c>
      <c r="B5" s="134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3"/>
      <c r="I5" s="124"/>
      <c r="J5" s="6"/>
      <c r="K5" s="6"/>
      <c r="L5" s="6"/>
    </row>
    <row r="6" spans="1:13" x14ac:dyDescent="0.35">
      <c r="A6" s="9" t="s">
        <v>627</v>
      </c>
      <c r="B6" s="9"/>
      <c r="C6" s="9"/>
      <c r="D6" s="9"/>
      <c r="E6" s="9"/>
      <c r="F6" s="9"/>
      <c r="G6" s="9"/>
      <c r="H6" s="9"/>
      <c r="I6" s="121">
        <f>I7</f>
        <v>-693.06789527027024</v>
      </c>
      <c r="J6" s="9">
        <v>692</v>
      </c>
      <c r="K6" s="38">
        <f t="shared" ref="K6:K66" si="1">J6+I6</f>
        <v>-1.0678952702702418</v>
      </c>
      <c r="L6" s="9"/>
    </row>
    <row r="7" spans="1:13" x14ac:dyDescent="0.35">
      <c r="A7" s="91" t="s">
        <v>628</v>
      </c>
      <c r="B7" s="3">
        <v>1</v>
      </c>
      <c r="C7" s="3">
        <v>840</v>
      </c>
      <c r="D7" s="3">
        <f t="shared" ref="D7:D65" si="2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3"/>
      <c r="I7" s="124">
        <f t="shared" ref="I7:I65" si="3">H7-G7</f>
        <v>-693.06789527027024</v>
      </c>
      <c r="J7" s="6"/>
      <c r="K7" s="6"/>
      <c r="L7" s="6"/>
    </row>
    <row r="8" spans="1:13" x14ac:dyDescent="0.35">
      <c r="A8" s="9" t="s">
        <v>13</v>
      </c>
      <c r="B8" s="9"/>
      <c r="C8" s="9"/>
      <c r="D8" s="9"/>
      <c r="E8" s="9"/>
      <c r="F8" s="9"/>
      <c r="G8" s="9"/>
      <c r="H8" s="9"/>
      <c r="I8" s="121">
        <f>I9</f>
        <v>-1887.0736945945946</v>
      </c>
      <c r="J8" s="9">
        <v>1889</v>
      </c>
      <c r="K8" s="38">
        <f t="shared" si="1"/>
        <v>1.926305405405401</v>
      </c>
      <c r="L8" s="9"/>
    </row>
    <row r="9" spans="1:13" ht="24" x14ac:dyDescent="0.35">
      <c r="A9" s="91" t="s">
        <v>629</v>
      </c>
      <c r="B9" s="26">
        <v>1</v>
      </c>
      <c r="C9" s="3">
        <v>1961</v>
      </c>
      <c r="D9" s="3">
        <f t="shared" si="2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3"/>
      <c r="I9" s="124">
        <f t="shared" si="3"/>
        <v>-1887.0736945945946</v>
      </c>
      <c r="J9" s="6"/>
      <c r="K9" s="6"/>
      <c r="L9" s="6"/>
    </row>
    <row r="10" spans="1:13" x14ac:dyDescent="0.35">
      <c r="A10" s="9" t="s">
        <v>411</v>
      </c>
      <c r="B10" s="9"/>
      <c r="C10" s="9"/>
      <c r="D10" s="9"/>
      <c r="E10" s="9"/>
      <c r="F10" s="9"/>
      <c r="G10" s="9"/>
      <c r="H10" s="9"/>
      <c r="I10" s="121">
        <f>I11</f>
        <v>-1321.465066216216</v>
      </c>
      <c r="J10" s="9">
        <v>1324</v>
      </c>
      <c r="K10" s="38">
        <f t="shared" si="1"/>
        <v>2.5349337837840267</v>
      </c>
      <c r="L10" s="9"/>
    </row>
    <row r="11" spans="1:13" ht="24" x14ac:dyDescent="0.35">
      <c r="A11" s="91" t="s">
        <v>630</v>
      </c>
      <c r="B11" s="3">
        <v>1</v>
      </c>
      <c r="C11" s="26">
        <v>1321</v>
      </c>
      <c r="D11" s="3">
        <f t="shared" si="2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3"/>
      <c r="I11" s="124">
        <f t="shared" si="3"/>
        <v>-1321.465066216216</v>
      </c>
      <c r="J11" s="6"/>
      <c r="K11" s="6"/>
      <c r="L11" s="6"/>
    </row>
    <row r="12" spans="1:13" x14ac:dyDescent="0.35">
      <c r="A12" s="9" t="s">
        <v>569</v>
      </c>
      <c r="B12" s="9"/>
      <c r="C12" s="9"/>
      <c r="D12" s="9"/>
      <c r="E12" s="9"/>
      <c r="F12" s="9"/>
      <c r="G12" s="9"/>
      <c r="H12" s="9"/>
      <c r="I12" s="121">
        <f>I13</f>
        <v>-900.69422716216218</v>
      </c>
      <c r="J12" s="9">
        <f>857</f>
        <v>857</v>
      </c>
      <c r="K12" s="38">
        <f t="shared" si="1"/>
        <v>-43.694227162162179</v>
      </c>
      <c r="L12" s="9"/>
    </row>
    <row r="13" spans="1:13" x14ac:dyDescent="0.35">
      <c r="A13" s="18" t="s">
        <v>631</v>
      </c>
      <c r="B13" s="134">
        <v>1</v>
      </c>
      <c r="C13" s="3">
        <f>2833/1000*300</f>
        <v>849.90000000000009</v>
      </c>
      <c r="D13" s="3">
        <f t="shared" si="2"/>
        <v>84.990000000000009</v>
      </c>
      <c r="E13" s="101">
        <f>0.3*1.3</f>
        <v>0.39</v>
      </c>
      <c r="F13" s="3">
        <f>E13/$E$80*$F$80</f>
        <v>608.71621621621614</v>
      </c>
      <c r="G13" s="3">
        <f t="shared" si="0"/>
        <v>900.69422716216218</v>
      </c>
      <c r="H13" s="123"/>
      <c r="I13" s="124">
        <f t="shared" si="3"/>
        <v>-900.69422716216218</v>
      </c>
      <c r="J13" s="6"/>
      <c r="K13" s="6"/>
      <c r="L13" s="6"/>
      <c r="M13" t="s">
        <v>566</v>
      </c>
    </row>
    <row r="14" spans="1:13" x14ac:dyDescent="0.35">
      <c r="A14" s="9" t="s">
        <v>460</v>
      </c>
      <c r="B14" s="9"/>
      <c r="C14" s="9"/>
      <c r="D14" s="9"/>
      <c r="E14" s="9"/>
      <c r="F14" s="9"/>
      <c r="G14" s="9"/>
      <c r="H14" s="9"/>
      <c r="I14" s="121">
        <f>I15</f>
        <v>-600.46281810810797</v>
      </c>
      <c r="J14" s="9">
        <v>564</v>
      </c>
      <c r="K14" s="38">
        <f>J14+I14-L15</f>
        <v>-47.462818108107967</v>
      </c>
      <c r="L14" s="9"/>
    </row>
    <row r="15" spans="1:13" x14ac:dyDescent="0.35">
      <c r="A15" s="18" t="s">
        <v>632</v>
      </c>
      <c r="B15" s="134">
        <v>1</v>
      </c>
      <c r="C15" s="3">
        <f>2833/1000*200</f>
        <v>566.6</v>
      </c>
      <c r="D15" s="3">
        <f t="shared" si="2"/>
        <v>56.660000000000004</v>
      </c>
      <c r="E15" s="101">
        <f>0.2*1.3</f>
        <v>0.26</v>
      </c>
      <c r="F15" s="3">
        <f>E15/$E$80*$F$80</f>
        <v>405.81081081081066</v>
      </c>
      <c r="G15" s="3">
        <f t="shared" si="0"/>
        <v>600.46281810810797</v>
      </c>
      <c r="H15" s="123"/>
      <c r="I15" s="124">
        <f t="shared" si="3"/>
        <v>-600.46281810810797</v>
      </c>
      <c r="J15" s="6"/>
      <c r="K15" s="6"/>
      <c r="L15" s="6">
        <v>11</v>
      </c>
    </row>
    <row r="16" spans="1:13" x14ac:dyDescent="0.35">
      <c r="A16" s="9" t="s">
        <v>495</v>
      </c>
      <c r="B16" s="9"/>
      <c r="C16" s="9"/>
      <c r="D16" s="9"/>
      <c r="E16" s="9"/>
      <c r="F16" s="9"/>
      <c r="G16" s="9"/>
      <c r="H16" s="9"/>
      <c r="I16" s="121">
        <f>I17</f>
        <v>-600.46281810810797</v>
      </c>
      <c r="J16" s="9">
        <v>574</v>
      </c>
      <c r="K16" s="38">
        <f>J16+I16-L17</f>
        <v>-37.462818108107967</v>
      </c>
      <c r="L16" s="9"/>
    </row>
    <row r="17" spans="1:12" x14ac:dyDescent="0.35">
      <c r="A17" s="18" t="s">
        <v>632</v>
      </c>
      <c r="B17" s="134">
        <v>1</v>
      </c>
      <c r="C17" s="3">
        <f>2833/1000*200</f>
        <v>566.6</v>
      </c>
      <c r="D17" s="3">
        <f t="shared" si="2"/>
        <v>56.660000000000004</v>
      </c>
      <c r="E17" s="101">
        <f>0.2*1.3</f>
        <v>0.26</v>
      </c>
      <c r="F17" s="3">
        <f>E17/$E$80*$F$80</f>
        <v>405.81081081081066</v>
      </c>
      <c r="G17" s="3">
        <f t="shared" si="0"/>
        <v>600.46281810810797</v>
      </c>
      <c r="H17" s="123"/>
      <c r="I17" s="124">
        <f t="shared" si="3"/>
        <v>-600.46281810810797</v>
      </c>
      <c r="J17" s="6"/>
      <c r="K17" s="6"/>
      <c r="L17" s="6">
        <v>11</v>
      </c>
    </row>
    <row r="18" spans="1:12" x14ac:dyDescent="0.35">
      <c r="A18" s="9" t="s">
        <v>633</v>
      </c>
      <c r="B18" s="9"/>
      <c r="C18" s="9"/>
      <c r="D18" s="9"/>
      <c r="E18" s="9"/>
      <c r="F18" s="9"/>
      <c r="G18" s="9"/>
      <c r="H18" s="9"/>
      <c r="I18" s="121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35">
      <c r="A19" s="18" t="s">
        <v>634</v>
      </c>
      <c r="B19" s="134">
        <v>1</v>
      </c>
      <c r="C19" s="3">
        <f>2833/1000*100</f>
        <v>283.3</v>
      </c>
      <c r="D19" s="3">
        <f t="shared" si="2"/>
        <v>28.330000000000002</v>
      </c>
      <c r="E19" s="101">
        <f>0.1*1.3</f>
        <v>0.13</v>
      </c>
      <c r="F19" s="3">
        <f>E19/$E$80*$F$80</f>
        <v>202.90540540540533</v>
      </c>
      <c r="G19" s="3">
        <f t="shared" si="0"/>
        <v>300.23140905405398</v>
      </c>
      <c r="H19" s="123"/>
      <c r="I19" s="124">
        <f t="shared" si="3"/>
        <v>-300.23140905405398</v>
      </c>
      <c r="J19" s="6"/>
      <c r="K19" s="6"/>
      <c r="L19" s="6">
        <v>11</v>
      </c>
    </row>
    <row r="20" spans="1:12" x14ac:dyDescent="0.35">
      <c r="A20" s="9" t="s">
        <v>614</v>
      </c>
      <c r="B20" s="9"/>
      <c r="C20" s="9"/>
      <c r="D20" s="9"/>
      <c r="E20" s="9"/>
      <c r="F20" s="9"/>
      <c r="G20" s="9"/>
      <c r="H20" s="9"/>
      <c r="I20" s="121">
        <f>I21</f>
        <v>-454.41462111486476</v>
      </c>
      <c r="J20" s="9">
        <v>457</v>
      </c>
      <c r="K20" s="38">
        <f>J20+I20-L21</f>
        <v>-8.4146211148647581</v>
      </c>
      <c r="L20" s="9"/>
    </row>
    <row r="21" spans="1:12" x14ac:dyDescent="0.35">
      <c r="A21" s="18" t="s">
        <v>587</v>
      </c>
      <c r="B21" s="134">
        <v>1</v>
      </c>
      <c r="C21" s="3">
        <f>3053/1600*200</f>
        <v>381.625</v>
      </c>
      <c r="D21" s="3">
        <f t="shared" si="2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3"/>
      <c r="I21" s="124">
        <f t="shared" si="3"/>
        <v>-454.41462111486476</v>
      </c>
      <c r="J21" s="6"/>
      <c r="K21" s="6"/>
      <c r="L21" s="6">
        <v>11</v>
      </c>
    </row>
    <row r="22" spans="1:12" x14ac:dyDescent="0.35">
      <c r="A22" s="9" t="s">
        <v>610</v>
      </c>
      <c r="B22" s="9"/>
      <c r="C22" s="9"/>
      <c r="D22" s="9"/>
      <c r="E22" s="9"/>
      <c r="F22" s="9"/>
      <c r="G22" s="9"/>
      <c r="H22" s="9"/>
      <c r="I22" s="121">
        <f>I23</f>
        <v>-250.52595028957526</v>
      </c>
      <c r="J22" s="138">
        <v>547</v>
      </c>
      <c r="K22" s="38">
        <f>J22+I22-L23</f>
        <v>285.47404971042477</v>
      </c>
      <c r="L22" s="9"/>
    </row>
    <row r="23" spans="1:12" ht="24" x14ac:dyDescent="0.35">
      <c r="A23" s="91" t="s">
        <v>636</v>
      </c>
      <c r="B23" s="134">
        <v>1</v>
      </c>
      <c r="C23" s="101">
        <f>2226/980*100</f>
        <v>227.14285714285714</v>
      </c>
      <c r="D23" s="3">
        <f t="shared" si="2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3"/>
      <c r="I23" s="124">
        <f t="shared" si="3"/>
        <v>-250.52595028957526</v>
      </c>
      <c r="J23" s="6"/>
      <c r="K23" s="6"/>
      <c r="L23" s="6">
        <v>11</v>
      </c>
    </row>
    <row r="24" spans="1:12" x14ac:dyDescent="0.35">
      <c r="A24" s="9" t="s">
        <v>612</v>
      </c>
      <c r="B24" s="9"/>
      <c r="C24" s="9"/>
      <c r="D24" s="9"/>
      <c r="E24" s="9"/>
      <c r="F24" s="9"/>
      <c r="G24" s="9"/>
      <c r="H24" s="9"/>
      <c r="I24" s="121">
        <f>I25+I26</f>
        <v>-542.68045772200765</v>
      </c>
      <c r="J24" s="9">
        <f>540</f>
        <v>540</v>
      </c>
      <c r="K24" s="38">
        <f>J24+I24-L25-L26</f>
        <v>-24.680457722007645</v>
      </c>
      <c r="L24" s="9"/>
    </row>
    <row r="25" spans="1:12" ht="29" x14ac:dyDescent="0.35">
      <c r="A25" s="18" t="s">
        <v>545</v>
      </c>
      <c r="B25" s="134">
        <v>1</v>
      </c>
      <c r="C25" s="3">
        <f>2920/1000*100</f>
        <v>292</v>
      </c>
      <c r="D25" s="3">
        <f t="shared" si="2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3"/>
      <c r="I25" s="124">
        <f t="shared" si="3"/>
        <v>-292.15450743243241</v>
      </c>
      <c r="J25" s="6"/>
      <c r="K25" s="6"/>
      <c r="L25" s="6">
        <v>11</v>
      </c>
    </row>
    <row r="26" spans="1:12" ht="24" x14ac:dyDescent="0.35">
      <c r="A26" s="91" t="s">
        <v>636</v>
      </c>
      <c r="B26" s="134">
        <v>1</v>
      </c>
      <c r="C26" s="101">
        <f>2226/980*100</f>
        <v>227.14285714285714</v>
      </c>
      <c r="D26" s="3">
        <f t="shared" si="2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3"/>
      <c r="I26" s="124">
        <f t="shared" si="3"/>
        <v>-250.52595028957526</v>
      </c>
      <c r="J26" s="6"/>
      <c r="K26" s="6"/>
      <c r="L26" s="6">
        <v>11</v>
      </c>
    </row>
    <row r="27" spans="1:12" x14ac:dyDescent="0.35">
      <c r="A27" s="9" t="s">
        <v>637</v>
      </c>
      <c r="B27" s="9"/>
      <c r="C27" s="9"/>
      <c r="D27" s="9"/>
      <c r="E27" s="9"/>
      <c r="F27" s="9"/>
      <c r="G27" s="9"/>
      <c r="H27" s="9"/>
      <c r="I27" s="121">
        <f>I28</f>
        <v>-292.15450743243241</v>
      </c>
      <c r="J27" s="9">
        <v>293</v>
      </c>
      <c r="K27" s="38">
        <f>J27+I27-L28</f>
        <v>-10.15450743243241</v>
      </c>
      <c r="L27" s="9"/>
    </row>
    <row r="28" spans="1:12" ht="29" x14ac:dyDescent="0.35">
      <c r="A28" s="18" t="s">
        <v>545</v>
      </c>
      <c r="B28" s="134">
        <v>1</v>
      </c>
      <c r="C28" s="3">
        <f>2920/1000*100</f>
        <v>292</v>
      </c>
      <c r="D28" s="3">
        <f t="shared" si="2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3"/>
      <c r="I28" s="124">
        <f t="shared" si="3"/>
        <v>-292.15450743243241</v>
      </c>
      <c r="J28" s="6"/>
      <c r="K28" s="6"/>
      <c r="L28" s="6">
        <v>11</v>
      </c>
    </row>
    <row r="29" spans="1:12" x14ac:dyDescent="0.35">
      <c r="A29" s="9" t="s">
        <v>378</v>
      </c>
      <c r="B29" s="9"/>
      <c r="C29" s="9"/>
      <c r="D29" s="9"/>
      <c r="E29" s="9"/>
      <c r="F29" s="9"/>
      <c r="G29" s="9"/>
      <c r="H29" s="9"/>
      <c r="I29" s="121">
        <f>I30</f>
        <v>-292.15450743243241</v>
      </c>
      <c r="J29" s="9">
        <v>293</v>
      </c>
      <c r="K29" s="38">
        <f>J29+I29-L30</f>
        <v>-10.15450743243241</v>
      </c>
      <c r="L29" s="9"/>
    </row>
    <row r="30" spans="1:12" ht="29" x14ac:dyDescent="0.35">
      <c r="A30" s="18" t="s">
        <v>545</v>
      </c>
      <c r="B30" s="134">
        <v>1</v>
      </c>
      <c r="C30" s="3">
        <f>2920/1000*100</f>
        <v>292</v>
      </c>
      <c r="D30" s="3">
        <f t="shared" si="2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3"/>
      <c r="I30" s="124">
        <f t="shared" si="3"/>
        <v>-292.15450743243241</v>
      </c>
      <c r="J30" s="6"/>
      <c r="K30" s="6"/>
      <c r="L30" s="6">
        <v>11</v>
      </c>
    </row>
    <row r="31" spans="1:12" x14ac:dyDescent="0.35">
      <c r="A31" s="9" t="s">
        <v>638</v>
      </c>
      <c r="B31" s="9"/>
      <c r="C31" s="9"/>
      <c r="D31" s="9"/>
      <c r="E31" s="9"/>
      <c r="F31" s="9"/>
      <c r="G31" s="9"/>
      <c r="H31" s="9"/>
      <c r="I31" s="121">
        <f>I32</f>
        <v>-584.30901486486482</v>
      </c>
      <c r="J31" s="9">
        <v>585</v>
      </c>
      <c r="K31" s="38">
        <f>J31+I31-L32</f>
        <v>-10.309014864864821</v>
      </c>
      <c r="L31" s="9"/>
    </row>
    <row r="32" spans="1:12" ht="29" x14ac:dyDescent="0.35">
      <c r="A32" s="18" t="s">
        <v>523</v>
      </c>
      <c r="B32" s="134">
        <v>1</v>
      </c>
      <c r="C32" s="3">
        <f>2920/1000*200</f>
        <v>584</v>
      </c>
      <c r="D32" s="3">
        <f t="shared" si="2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3"/>
      <c r="I32" s="124">
        <f t="shared" si="3"/>
        <v>-584.30901486486482</v>
      </c>
      <c r="J32" s="6"/>
      <c r="K32" s="6"/>
      <c r="L32" s="6">
        <v>11</v>
      </c>
    </row>
    <row r="33" spans="1:13" x14ac:dyDescent="0.35">
      <c r="A33" s="9" t="s">
        <v>639</v>
      </c>
      <c r="B33" s="9"/>
      <c r="C33" s="9"/>
      <c r="D33" s="9"/>
      <c r="E33" s="9"/>
      <c r="F33" s="9"/>
      <c r="G33" s="9"/>
      <c r="H33" s="9"/>
      <c r="I33" s="121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29" x14ac:dyDescent="0.35">
      <c r="A34" s="18" t="s">
        <v>541</v>
      </c>
      <c r="B34" s="134">
        <v>1</v>
      </c>
      <c r="C34" s="3">
        <f>2920/1000*300</f>
        <v>876</v>
      </c>
      <c r="D34" s="3">
        <f t="shared" si="2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3"/>
      <c r="I34" s="124">
        <f t="shared" si="3"/>
        <v>-876.46352229729723</v>
      </c>
      <c r="J34" s="6"/>
      <c r="K34" s="6"/>
      <c r="L34" s="6"/>
      <c r="M34" t="s">
        <v>566</v>
      </c>
    </row>
    <row r="35" spans="1:13" x14ac:dyDescent="0.35">
      <c r="A35" s="9" t="s">
        <v>635</v>
      </c>
      <c r="B35" s="9"/>
      <c r="C35" s="9"/>
      <c r="D35" s="9"/>
      <c r="E35" s="9"/>
      <c r="F35" s="9"/>
      <c r="G35" s="9"/>
      <c r="H35" s="9"/>
      <c r="I35" s="121">
        <f>I36+I37</f>
        <v>-1100.5979759797297</v>
      </c>
      <c r="J35" s="9">
        <v>1103</v>
      </c>
      <c r="K35" s="38">
        <f>J35+I35-L36-L37</f>
        <v>-19.597975979729654</v>
      </c>
      <c r="L35" s="9"/>
    </row>
    <row r="36" spans="1:13" x14ac:dyDescent="0.35">
      <c r="A36" s="18" t="s">
        <v>640</v>
      </c>
      <c r="B36" s="134">
        <v>1</v>
      </c>
      <c r="C36" s="3">
        <f>3402/1000*200</f>
        <v>680.4</v>
      </c>
      <c r="D36" s="3">
        <f t="shared" si="2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3"/>
      <c r="I36" s="124">
        <f t="shared" si="3"/>
        <v>-646.18335486486478</v>
      </c>
      <c r="J36" s="6"/>
      <c r="K36" s="6"/>
      <c r="L36" s="6">
        <v>11</v>
      </c>
    </row>
    <row r="37" spans="1:13" x14ac:dyDescent="0.35">
      <c r="A37" s="18" t="s">
        <v>587</v>
      </c>
      <c r="B37" s="134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3"/>
      <c r="I37" s="124">
        <f>H37-G37</f>
        <v>-454.41462111486476</v>
      </c>
      <c r="J37" s="6"/>
      <c r="K37" s="6"/>
      <c r="L37" s="6">
        <v>11</v>
      </c>
    </row>
    <row r="38" spans="1:13" x14ac:dyDescent="0.35">
      <c r="A38" s="9" t="s">
        <v>326</v>
      </c>
      <c r="B38" s="9"/>
      <c r="C38" s="9"/>
      <c r="D38" s="9"/>
      <c r="E38" s="9"/>
      <c r="F38" s="9"/>
      <c r="G38" s="9"/>
      <c r="H38" s="9"/>
      <c r="I38" s="121">
        <f>I39</f>
        <v>-1459.4888371621621</v>
      </c>
      <c r="J38" s="9">
        <v>1462</v>
      </c>
      <c r="K38" s="38">
        <f>J38+I38-L39</f>
        <v>-19.488837162162099</v>
      </c>
      <c r="L38" s="9"/>
    </row>
    <row r="39" spans="1:13" ht="29" x14ac:dyDescent="0.35">
      <c r="A39" s="18" t="s">
        <v>641</v>
      </c>
      <c r="B39" s="134">
        <v>1</v>
      </c>
      <c r="C39" s="3">
        <f>2916/1000*500</f>
        <v>1458</v>
      </c>
      <c r="D39" s="3">
        <f t="shared" si="2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3"/>
      <c r="I39" s="124">
        <f t="shared" si="3"/>
        <v>-1459.4888371621621</v>
      </c>
      <c r="J39" s="6"/>
      <c r="K39" s="6"/>
      <c r="L39" s="6">
        <v>22</v>
      </c>
    </row>
    <row r="40" spans="1:13" x14ac:dyDescent="0.35">
      <c r="A40" s="9" t="s">
        <v>642</v>
      </c>
      <c r="B40" s="9"/>
      <c r="C40" s="9"/>
      <c r="D40" s="9"/>
      <c r="E40" s="9"/>
      <c r="F40" s="9"/>
      <c r="G40" s="9"/>
      <c r="H40" s="9"/>
      <c r="I40" s="121">
        <f>I41</f>
        <v>-250.52595028957526</v>
      </c>
      <c r="J40" s="9">
        <v>248</v>
      </c>
      <c r="K40" s="38">
        <f>J40+I40-L41</f>
        <v>-13.525950289575263</v>
      </c>
      <c r="L40" s="9"/>
    </row>
    <row r="41" spans="1:13" ht="24" x14ac:dyDescent="0.35">
      <c r="A41" s="91" t="s">
        <v>636</v>
      </c>
      <c r="B41" s="134">
        <v>1</v>
      </c>
      <c r="C41" s="101">
        <f>2226/980*100</f>
        <v>227.14285714285714</v>
      </c>
      <c r="D41" s="3">
        <f t="shared" si="2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3"/>
      <c r="I41" s="124">
        <f t="shared" si="3"/>
        <v>-250.52595028957526</v>
      </c>
      <c r="J41" s="6"/>
      <c r="K41" s="6"/>
      <c r="L41" s="6">
        <v>11</v>
      </c>
    </row>
    <row r="42" spans="1:13" x14ac:dyDescent="0.35">
      <c r="A42" s="9" t="s">
        <v>399</v>
      </c>
      <c r="B42" s="9"/>
      <c r="C42" s="9"/>
      <c r="D42" s="9"/>
      <c r="E42" s="9"/>
      <c r="F42" s="9"/>
      <c r="G42" s="9"/>
      <c r="H42" s="9"/>
      <c r="I42" s="121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35">
      <c r="A43" s="18" t="s">
        <v>634</v>
      </c>
      <c r="B43" s="134">
        <v>1</v>
      </c>
      <c r="C43" s="3">
        <f>2833/1000*100</f>
        <v>283.3</v>
      </c>
      <c r="D43" s="3">
        <f t="shared" si="2"/>
        <v>28.330000000000002</v>
      </c>
      <c r="E43" s="101">
        <f>0.1*1.3</f>
        <v>0.13</v>
      </c>
      <c r="F43" s="3">
        <f>E43/$E$80*$F$80</f>
        <v>202.90540540540533</v>
      </c>
      <c r="G43" s="3">
        <f t="shared" si="0"/>
        <v>300.23140905405398</v>
      </c>
      <c r="H43" s="123"/>
      <c r="I43" s="124">
        <f t="shared" si="3"/>
        <v>-300.23140905405398</v>
      </c>
      <c r="J43" s="6"/>
      <c r="K43" s="6"/>
      <c r="L43" s="6">
        <v>11</v>
      </c>
    </row>
    <row r="44" spans="1:13" ht="24" x14ac:dyDescent="0.35">
      <c r="A44" s="91" t="s">
        <v>636</v>
      </c>
      <c r="B44" s="134">
        <v>1</v>
      </c>
      <c r="C44" s="101">
        <f>2226/980*100</f>
        <v>227.14285714285714</v>
      </c>
      <c r="D44" s="3">
        <f t="shared" si="2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3"/>
      <c r="I44" s="124">
        <f t="shared" si="3"/>
        <v>-250.52595028957526</v>
      </c>
      <c r="J44" s="6"/>
      <c r="K44" s="6"/>
      <c r="L44" s="6">
        <v>11</v>
      </c>
    </row>
    <row r="45" spans="1:13" x14ac:dyDescent="0.35">
      <c r="A45" s="9" t="s">
        <v>643</v>
      </c>
      <c r="B45" s="9"/>
      <c r="C45" s="9"/>
      <c r="D45" s="9"/>
      <c r="E45" s="9"/>
      <c r="F45" s="9"/>
      <c r="G45" s="9"/>
      <c r="H45" s="9"/>
      <c r="I45" s="121">
        <f>I46+I47</f>
        <v>-1444.6762278185327</v>
      </c>
      <c r="J45" s="9">
        <v>1440</v>
      </c>
      <c r="K45" s="38">
        <f>J45+I45-L46-L47</f>
        <v>-26.676227818532652</v>
      </c>
      <c r="L45" s="9"/>
    </row>
    <row r="46" spans="1:13" ht="29" x14ac:dyDescent="0.35">
      <c r="A46" s="18" t="s">
        <v>582</v>
      </c>
      <c r="B46" s="134">
        <v>1</v>
      </c>
      <c r="C46" s="3">
        <f>3529/1000*300</f>
        <v>1058.7</v>
      </c>
      <c r="D46" s="3">
        <f t="shared" si="2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3"/>
      <c r="I46" s="124">
        <f t="shared" si="3"/>
        <v>-993.72951729729721</v>
      </c>
      <c r="J46" s="6"/>
      <c r="K46" s="6"/>
      <c r="L46" s="6">
        <v>11</v>
      </c>
    </row>
    <row r="47" spans="1:13" ht="24" x14ac:dyDescent="0.35">
      <c r="A47" s="91" t="s">
        <v>644</v>
      </c>
      <c r="B47" s="134">
        <v>1</v>
      </c>
      <c r="C47" s="101">
        <f>2226/980*180</f>
        <v>408.85714285714283</v>
      </c>
      <c r="D47" s="3">
        <f t="shared" si="2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3"/>
      <c r="I47" s="124">
        <f t="shared" si="3"/>
        <v>-450.94671052123545</v>
      </c>
      <c r="J47" s="6"/>
      <c r="K47" s="6"/>
      <c r="L47" s="6">
        <v>11</v>
      </c>
    </row>
    <row r="48" spans="1:13" x14ac:dyDescent="0.35">
      <c r="A48" s="9" t="s">
        <v>645</v>
      </c>
      <c r="B48" s="9"/>
      <c r="C48" s="9"/>
      <c r="D48" s="9"/>
      <c r="E48" s="9"/>
      <c r="F48" s="9"/>
      <c r="G48" s="9"/>
      <c r="H48" s="9"/>
      <c r="I48" s="121">
        <f>I49+I50</f>
        <v>-955.46652169401523</v>
      </c>
      <c r="J48" s="9">
        <v>952</v>
      </c>
      <c r="K48" s="38">
        <f>J48+I48-L50</f>
        <v>-14.466521694015228</v>
      </c>
      <c r="L48" s="9"/>
    </row>
    <row r="49" spans="1:13" x14ac:dyDescent="0.35">
      <c r="A49" s="18" t="s">
        <v>587</v>
      </c>
      <c r="B49" s="134">
        <v>1</v>
      </c>
      <c r="C49" s="3">
        <f>3053/1600*200</f>
        <v>381.625</v>
      </c>
      <c r="D49" s="3">
        <f t="shared" si="2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3"/>
      <c r="I49" s="124">
        <f t="shared" si="3"/>
        <v>-454.41462111486476</v>
      </c>
      <c r="J49" s="6"/>
      <c r="K49" s="6"/>
      <c r="L49" s="6"/>
    </row>
    <row r="50" spans="1:13" ht="24" x14ac:dyDescent="0.35">
      <c r="A50" s="91" t="s">
        <v>646</v>
      </c>
      <c r="B50" s="134">
        <v>1</v>
      </c>
      <c r="C50" s="101">
        <f>2226/980*200</f>
        <v>454.28571428571428</v>
      </c>
      <c r="D50" s="3">
        <f t="shared" si="2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3"/>
      <c r="I50" s="124">
        <f t="shared" si="3"/>
        <v>-501.05190057915053</v>
      </c>
      <c r="J50" s="6"/>
      <c r="K50" s="6"/>
      <c r="L50" s="6">
        <v>11</v>
      </c>
    </row>
    <row r="51" spans="1:13" x14ac:dyDescent="0.35">
      <c r="A51" s="9" t="s">
        <v>603</v>
      </c>
      <c r="B51" s="9"/>
      <c r="C51" s="9"/>
      <c r="D51" s="9"/>
      <c r="E51" s="9"/>
      <c r="F51" s="9"/>
      <c r="G51" s="9"/>
      <c r="H51" s="9"/>
      <c r="I51" s="121">
        <f>I52+I53</f>
        <v>-1147.2352554440154</v>
      </c>
      <c r="J51" s="9">
        <v>1142</v>
      </c>
      <c r="K51" s="38">
        <f>J51+I51-L52</f>
        <v>-16.235255444015365</v>
      </c>
      <c r="L51" s="9"/>
    </row>
    <row r="52" spans="1:13" x14ac:dyDescent="0.35">
      <c r="A52" s="18" t="s">
        <v>640</v>
      </c>
      <c r="B52" s="134">
        <v>1</v>
      </c>
      <c r="C52" s="3">
        <f>3402/1000*200</f>
        <v>680.4</v>
      </c>
      <c r="D52" s="3">
        <f t="shared" si="2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3"/>
      <c r="I52" s="124">
        <f t="shared" si="3"/>
        <v>-646.18335486486478</v>
      </c>
      <c r="J52" s="6"/>
      <c r="K52" s="6"/>
      <c r="L52" s="6">
        <v>11</v>
      </c>
    </row>
    <row r="53" spans="1:13" ht="24" x14ac:dyDescent="0.35">
      <c r="A53" s="91" t="s">
        <v>646</v>
      </c>
      <c r="B53" s="134">
        <v>1</v>
      </c>
      <c r="C53" s="101">
        <f>2226/980*200</f>
        <v>454.28571428571428</v>
      </c>
      <c r="D53" s="3">
        <f t="shared" si="2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3"/>
      <c r="I53" s="124">
        <f t="shared" si="3"/>
        <v>-501.05190057915053</v>
      </c>
      <c r="J53" s="6"/>
      <c r="K53" s="6"/>
      <c r="L53" s="6"/>
      <c r="M53" t="s">
        <v>566</v>
      </c>
    </row>
    <row r="54" spans="1:13" x14ac:dyDescent="0.35">
      <c r="A54" s="9" t="s">
        <v>609</v>
      </c>
      <c r="B54" s="9"/>
      <c r="C54" s="9"/>
      <c r="D54" s="9"/>
      <c r="E54" s="9"/>
      <c r="F54" s="9"/>
      <c r="G54" s="9"/>
      <c r="H54" s="9"/>
      <c r="I54" s="121">
        <f>SUM(I55:I59)</f>
        <v>-5110.5313479222978</v>
      </c>
      <c r="J54" s="9">
        <v>5111</v>
      </c>
      <c r="K54" s="38">
        <f t="shared" si="1"/>
        <v>0.46865207770224515</v>
      </c>
      <c r="L54" s="9"/>
    </row>
    <row r="55" spans="1:13" x14ac:dyDescent="0.35">
      <c r="A55" s="18" t="s">
        <v>647</v>
      </c>
      <c r="B55" s="134">
        <v>1</v>
      </c>
      <c r="C55" s="3">
        <f>3053/1600*500</f>
        <v>954.0625</v>
      </c>
      <c r="D55" s="3">
        <f t="shared" si="2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3"/>
      <c r="I55" s="124">
        <f t="shared" si="3"/>
        <v>-1136.0365527871622</v>
      </c>
      <c r="J55" s="6"/>
      <c r="K55" s="6"/>
      <c r="L55" s="6"/>
      <c r="M55" t="s">
        <v>566</v>
      </c>
    </row>
    <row r="56" spans="1:13" ht="29" x14ac:dyDescent="0.35">
      <c r="A56" s="18" t="s">
        <v>641</v>
      </c>
      <c r="B56" s="134">
        <v>1</v>
      </c>
      <c r="C56" s="3">
        <f>2916/1000*500</f>
        <v>1458</v>
      </c>
      <c r="D56" s="3">
        <f t="shared" si="2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3"/>
      <c r="I56" s="124">
        <f t="shared" si="3"/>
        <v>-1459.4888371621621</v>
      </c>
      <c r="J56" s="6"/>
      <c r="K56" s="6"/>
      <c r="L56" s="6"/>
      <c r="M56" t="s">
        <v>566</v>
      </c>
    </row>
    <row r="57" spans="1:13" x14ac:dyDescent="0.35">
      <c r="A57" s="18" t="s">
        <v>648</v>
      </c>
      <c r="B57" s="134">
        <v>1</v>
      </c>
      <c r="C57" s="3">
        <f>3402/1000*300</f>
        <v>1020.6</v>
      </c>
      <c r="D57" s="3">
        <f t="shared" si="2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3"/>
      <c r="I57" s="124">
        <f t="shared" si="3"/>
        <v>-969.27503229729723</v>
      </c>
      <c r="J57" s="6"/>
      <c r="K57" s="6"/>
      <c r="L57" s="6"/>
      <c r="M57" t="s">
        <v>566</v>
      </c>
    </row>
    <row r="58" spans="1:13" x14ac:dyDescent="0.35">
      <c r="A58" s="91" t="s">
        <v>649</v>
      </c>
      <c r="B58" s="3">
        <v>1</v>
      </c>
      <c r="C58" s="3">
        <v>1752</v>
      </c>
      <c r="D58" s="3">
        <f t="shared" si="2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3"/>
      <c r="I58" s="124">
        <f t="shared" si="3"/>
        <v>-1242.9165040540543</v>
      </c>
      <c r="J58" s="6"/>
      <c r="K58" s="6"/>
      <c r="L58" s="6"/>
    </row>
    <row r="59" spans="1:13" x14ac:dyDescent="0.35">
      <c r="A59" s="91" t="s">
        <v>650</v>
      </c>
      <c r="B59" s="3">
        <v>1</v>
      </c>
      <c r="C59" s="3">
        <v>398</v>
      </c>
      <c r="D59" s="3">
        <f t="shared" si="2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3"/>
      <c r="I59" s="124">
        <f t="shared" si="3"/>
        <v>-302.81442162162159</v>
      </c>
      <c r="J59" s="6"/>
      <c r="K59" s="6"/>
      <c r="L59" s="6"/>
    </row>
    <row r="60" spans="1:13" x14ac:dyDescent="0.35">
      <c r="A60" s="9" t="s">
        <v>651</v>
      </c>
      <c r="B60" s="9"/>
      <c r="C60" s="9"/>
      <c r="D60" s="9"/>
      <c r="E60" s="9"/>
      <c r="F60" s="9"/>
      <c r="G60" s="9"/>
      <c r="H60" s="9"/>
      <c r="I60" s="121">
        <f>SUM(I61:I65)</f>
        <v>-8079.4855015540525</v>
      </c>
      <c r="J60" s="9">
        <v>8108</v>
      </c>
      <c r="K60" s="38">
        <f>J60+I60-L61-L62-L63</f>
        <v>-15.485501554052462</v>
      </c>
      <c r="L60" s="9"/>
    </row>
    <row r="61" spans="1:13" x14ac:dyDescent="0.35">
      <c r="A61" s="18" t="s">
        <v>594</v>
      </c>
      <c r="B61" s="134">
        <v>1</v>
      </c>
      <c r="C61" s="3">
        <f>3053/1600*400</f>
        <v>763.25</v>
      </c>
      <c r="D61" s="3">
        <f t="shared" si="2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3"/>
      <c r="I61" s="124">
        <f t="shared" si="3"/>
        <v>-908.82924222972952</v>
      </c>
      <c r="J61" s="6"/>
      <c r="K61" s="6"/>
      <c r="L61" s="6">
        <v>22</v>
      </c>
    </row>
    <row r="62" spans="1:13" x14ac:dyDescent="0.35">
      <c r="A62" s="18" t="s">
        <v>648</v>
      </c>
      <c r="B62" s="134">
        <v>1</v>
      </c>
      <c r="C62" s="3">
        <f>3402/1000*300</f>
        <v>1020.6</v>
      </c>
      <c r="D62" s="3">
        <f t="shared" si="2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3"/>
      <c r="I62" s="124">
        <f t="shared" si="3"/>
        <v>-969.27503229729723</v>
      </c>
      <c r="J62" s="6"/>
      <c r="K62" s="6"/>
      <c r="L62" s="6">
        <v>11</v>
      </c>
    </row>
    <row r="63" spans="1:13" ht="29" x14ac:dyDescent="0.35">
      <c r="A63" s="18" t="s">
        <v>523</v>
      </c>
      <c r="B63" s="134">
        <v>1</v>
      </c>
      <c r="C63" s="3">
        <f>2920/1000*200</f>
        <v>584</v>
      </c>
      <c r="D63" s="3">
        <f t="shared" si="2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3"/>
      <c r="I63" s="124">
        <f t="shared" si="3"/>
        <v>-584.30901486486482</v>
      </c>
      <c r="J63" s="6"/>
      <c r="K63" s="6"/>
      <c r="L63" s="6">
        <v>11</v>
      </c>
    </row>
    <row r="64" spans="1:13" x14ac:dyDescent="0.35">
      <c r="A64" s="18" t="s">
        <v>652</v>
      </c>
      <c r="B64" s="3">
        <v>1</v>
      </c>
      <c r="C64" s="3">
        <v>1722</v>
      </c>
      <c r="D64" s="3">
        <f t="shared" si="2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3"/>
      <c r="I64" s="124">
        <f t="shared" si="3"/>
        <v>-2502.3302878378372</v>
      </c>
      <c r="J64" s="6"/>
      <c r="K64" s="6"/>
      <c r="L64" s="6"/>
    </row>
    <row r="65" spans="1:13" ht="29" x14ac:dyDescent="0.35">
      <c r="A65" s="18" t="s">
        <v>657</v>
      </c>
      <c r="B65" s="3">
        <v>1</v>
      </c>
      <c r="C65" s="3">
        <v>3221</v>
      </c>
      <c r="D65" s="3">
        <f t="shared" si="2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3"/>
      <c r="I65" s="124">
        <f t="shared" si="3"/>
        <v>-3114.7419243243239</v>
      </c>
      <c r="J65" s="6"/>
      <c r="K65" s="6"/>
      <c r="L65" s="6"/>
    </row>
    <row r="66" spans="1:13" x14ac:dyDescent="0.35">
      <c r="A66" s="9" t="s">
        <v>653</v>
      </c>
      <c r="B66" s="9"/>
      <c r="C66" s="9"/>
      <c r="D66" s="9"/>
      <c r="E66" s="9"/>
      <c r="F66" s="9"/>
      <c r="G66" s="9"/>
      <c r="H66" s="9"/>
      <c r="I66" s="121">
        <f>I67+I68</f>
        <v>-2329.3378349999998</v>
      </c>
      <c r="J66" s="9">
        <v>2326</v>
      </c>
      <c r="K66" s="38">
        <f t="shared" si="1"/>
        <v>-3.3378349999998136</v>
      </c>
      <c r="L66" s="9"/>
    </row>
    <row r="67" spans="1:13" ht="29" x14ac:dyDescent="0.35">
      <c r="A67" s="18" t="s">
        <v>576</v>
      </c>
      <c r="B67" s="134">
        <v>1</v>
      </c>
      <c r="C67" s="3">
        <f>3529/1000*400</f>
        <v>1411.6</v>
      </c>
      <c r="D67" s="3">
        <f t="shared" ref="D67:D79" si="4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5">(C67)*$B$1+D67*$B$1+F67*$B$1</f>
        <v>1324.9726897297296</v>
      </c>
      <c r="H67" s="123"/>
      <c r="I67" s="124">
        <f t="shared" ref="I67:I79" si="6">H67-G67</f>
        <v>-1324.9726897297296</v>
      </c>
      <c r="J67" s="6"/>
      <c r="K67" s="6"/>
      <c r="L67" s="6"/>
      <c r="M67" t="s">
        <v>671</v>
      </c>
    </row>
    <row r="68" spans="1:13" x14ac:dyDescent="0.35">
      <c r="A68" s="136" t="s">
        <v>654</v>
      </c>
      <c r="B68" s="134">
        <v>1</v>
      </c>
      <c r="C68" s="3">
        <v>1325</v>
      </c>
      <c r="D68" s="3">
        <f t="shared" si="4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5"/>
        <v>1004.3651452702703</v>
      </c>
      <c r="H68" s="123"/>
      <c r="I68" s="124">
        <f t="shared" si="6"/>
        <v>-1004.3651452702703</v>
      </c>
      <c r="J68" s="6"/>
      <c r="K68" s="6"/>
      <c r="L68" s="6"/>
    </row>
    <row r="69" spans="1:13" x14ac:dyDescent="0.35">
      <c r="A69" s="9" t="s">
        <v>573</v>
      </c>
      <c r="B69" s="9"/>
      <c r="C69" s="9"/>
      <c r="D69" s="9"/>
      <c r="E69" s="9"/>
      <c r="F69" s="9"/>
      <c r="G69" s="9"/>
      <c r="H69" s="9"/>
      <c r="I69" s="139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35">
      <c r="A70" s="18" t="s">
        <v>574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3"/>
      <c r="I70" s="140">
        <f t="shared" si="6"/>
        <v>-1509.4987297297296</v>
      </c>
      <c r="J70" s="6"/>
      <c r="K70" s="6"/>
      <c r="L70" s="6"/>
    </row>
    <row r="71" spans="1:13" x14ac:dyDescent="0.35">
      <c r="A71" s="18" t="s">
        <v>575</v>
      </c>
      <c r="B71" s="26">
        <v>1</v>
      </c>
      <c r="C71" s="26">
        <v>875</v>
      </c>
      <c r="D71" s="3">
        <f t="shared" si="4"/>
        <v>87.5</v>
      </c>
      <c r="E71" s="3">
        <f>0.12*1.3*B71</f>
        <v>0.156</v>
      </c>
      <c r="F71" s="3">
        <f>E71/$E$80*$F$80</f>
        <v>243.4864864864864</v>
      </c>
      <c r="G71" s="3">
        <f t="shared" si="5"/>
        <v>703.69311486486481</v>
      </c>
      <c r="H71" s="123"/>
      <c r="I71" s="140">
        <f t="shared" si="6"/>
        <v>-703.69311486486481</v>
      </c>
      <c r="J71" s="6"/>
      <c r="K71" s="6"/>
      <c r="L71" s="6"/>
    </row>
    <row r="72" spans="1:13" x14ac:dyDescent="0.35">
      <c r="A72" s="18" t="s">
        <v>552</v>
      </c>
      <c r="B72" s="26">
        <v>1</v>
      </c>
      <c r="C72" s="26">
        <v>1290</v>
      </c>
      <c r="D72" s="3">
        <f t="shared" si="4"/>
        <v>129</v>
      </c>
      <c r="E72" s="3">
        <f>0.1*1.15</f>
        <v>0.11499999999999999</v>
      </c>
      <c r="F72" s="3">
        <f>E72/$E$80*$F$80</f>
        <v>179.49324324324317</v>
      </c>
      <c r="G72" s="3">
        <f t="shared" si="5"/>
        <v>932.72080743243237</v>
      </c>
      <c r="H72" s="123"/>
      <c r="I72" s="140">
        <f t="shared" si="6"/>
        <v>-932.72080743243237</v>
      </c>
      <c r="J72" s="6"/>
      <c r="K72" s="6"/>
      <c r="L72" s="6"/>
    </row>
    <row r="73" spans="1:13" x14ac:dyDescent="0.35">
      <c r="A73" s="18" t="s">
        <v>670</v>
      </c>
      <c r="B73" s="77">
        <v>2</v>
      </c>
      <c r="C73" s="26">
        <v>1750</v>
      </c>
      <c r="D73" s="3">
        <f t="shared" si="4"/>
        <v>350</v>
      </c>
      <c r="E73" s="3">
        <f>0.12*1.3*B73</f>
        <v>0.312</v>
      </c>
      <c r="F73" s="3">
        <f>E73/$E$80*$F$80</f>
        <v>486.9729729729728</v>
      </c>
      <c r="G73" s="3">
        <f t="shared" si="5"/>
        <v>1509.4987297297296</v>
      </c>
      <c r="H73" s="123"/>
      <c r="I73" s="140">
        <f t="shared" si="6"/>
        <v>-1509.4987297297296</v>
      </c>
      <c r="J73" s="6"/>
      <c r="K73" s="6"/>
      <c r="L73" s="6"/>
    </row>
    <row r="74" spans="1:13" ht="29" x14ac:dyDescent="0.35">
      <c r="A74" s="18" t="s">
        <v>582</v>
      </c>
      <c r="B74" s="26">
        <v>1</v>
      </c>
      <c r="C74" s="26">
        <f>3529/1000*300</f>
        <v>1058.7</v>
      </c>
      <c r="D74" s="3">
        <f t="shared" si="4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5"/>
        <v>993.72951729729721</v>
      </c>
      <c r="H74" s="123"/>
      <c r="I74" s="140">
        <f t="shared" si="6"/>
        <v>-993.72951729729721</v>
      </c>
      <c r="J74" s="6"/>
      <c r="K74" s="6"/>
      <c r="L74" s="6">
        <v>11</v>
      </c>
    </row>
    <row r="75" spans="1:13" x14ac:dyDescent="0.35">
      <c r="A75" s="9" t="s">
        <v>534</v>
      </c>
      <c r="B75" s="9"/>
      <c r="C75" s="9"/>
      <c r="D75" s="9"/>
      <c r="E75" s="9"/>
      <c r="F75" s="9"/>
      <c r="G75" s="9"/>
      <c r="H75" s="9"/>
      <c r="I75" s="121">
        <f>I76+I77</f>
        <v>-3371.898259459459</v>
      </c>
      <c r="J75" s="9">
        <f>7+3353</f>
        <v>3360</v>
      </c>
      <c r="K75" s="38">
        <f t="shared" ref="K69:K78" si="7">J75+I75</f>
        <v>-11.898259459459041</v>
      </c>
      <c r="L75" s="9"/>
    </row>
    <row r="76" spans="1:13" x14ac:dyDescent="0.35">
      <c r="A76" s="91" t="s">
        <v>578</v>
      </c>
      <c r="B76" s="77">
        <v>2</v>
      </c>
      <c r="C76" s="3">
        <v>2198</v>
      </c>
      <c r="D76" s="3">
        <f t="shared" si="4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3"/>
      <c r="I76" s="124">
        <f t="shared" si="6"/>
        <v>-1823.1883297297297</v>
      </c>
      <c r="J76" s="6"/>
      <c r="K76" s="6"/>
      <c r="L76" s="6"/>
    </row>
    <row r="77" spans="1:13" x14ac:dyDescent="0.35">
      <c r="A77" s="91" t="s">
        <v>655</v>
      </c>
      <c r="B77" s="77">
        <v>2</v>
      </c>
      <c r="C77" s="3">
        <v>1806</v>
      </c>
      <c r="D77" s="3">
        <f t="shared" si="4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5"/>
        <v>1548.7099297297295</v>
      </c>
      <c r="H77" s="123"/>
      <c r="I77" s="124">
        <f t="shared" si="6"/>
        <v>-1548.7099297297295</v>
      </c>
      <c r="J77" s="6"/>
      <c r="K77" s="6"/>
      <c r="L77" s="6"/>
    </row>
    <row r="78" spans="1:13" x14ac:dyDescent="0.35">
      <c r="A78" s="9" t="s">
        <v>656</v>
      </c>
      <c r="B78" s="9"/>
      <c r="C78" s="9"/>
      <c r="D78" s="9"/>
      <c r="E78" s="9"/>
      <c r="F78" s="9"/>
      <c r="G78" s="9"/>
      <c r="H78" s="9"/>
      <c r="I78" s="121">
        <f>I79</f>
        <v>-300.23140905405398</v>
      </c>
      <c r="J78" s="9">
        <v>290</v>
      </c>
      <c r="K78" s="38">
        <f>J78+I78-L79</f>
        <v>-21.231409054053984</v>
      </c>
      <c r="L78" s="9"/>
    </row>
    <row r="79" spans="1:13" x14ac:dyDescent="0.35">
      <c r="A79" s="18" t="s">
        <v>634</v>
      </c>
      <c r="B79" s="134">
        <v>1</v>
      </c>
      <c r="C79" s="3">
        <f>2833/1000*100</f>
        <v>283.3</v>
      </c>
      <c r="D79" s="3">
        <f t="shared" si="4"/>
        <v>28.330000000000002</v>
      </c>
      <c r="E79" s="101">
        <f>0.1*1.3</f>
        <v>0.13</v>
      </c>
      <c r="F79" s="3">
        <f>E79/$E$80*$F$80</f>
        <v>202.90540540540533</v>
      </c>
      <c r="G79" s="3">
        <f t="shared" si="5"/>
        <v>300.23140905405398</v>
      </c>
      <c r="H79" s="123"/>
      <c r="I79" s="124">
        <f t="shared" si="6"/>
        <v>-300.23140905405398</v>
      </c>
      <c r="J79" s="6"/>
      <c r="K79" s="6"/>
      <c r="L79" s="6">
        <v>11</v>
      </c>
    </row>
    <row r="80" spans="1:13" x14ac:dyDescent="0.3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3"/>
      <c r="I80" s="122"/>
      <c r="J80" s="28"/>
      <c r="K80" s="28"/>
      <c r="L80" s="28"/>
    </row>
    <row r="85" spans="9:9" x14ac:dyDescent="0.35">
      <c r="I85" s="141"/>
    </row>
    <row r="86" spans="9:9" x14ac:dyDescent="0.35">
      <c r="I86" s="141"/>
    </row>
    <row r="87" spans="9:9" x14ac:dyDescent="0.35">
      <c r="I87" s="141"/>
    </row>
    <row r="88" spans="9:9" x14ac:dyDescent="0.35">
      <c r="I88" s="141"/>
    </row>
    <row r="89" spans="9:9" x14ac:dyDescent="0.35">
      <c r="I89" s="14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142" t="s">
        <v>64</v>
      </c>
      <c r="B49" s="143"/>
      <c r="C49" s="143"/>
      <c r="D49" s="143"/>
      <c r="E49" s="143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142" t="s">
        <v>64</v>
      </c>
      <c r="B52" s="143"/>
      <c r="C52" s="143"/>
      <c r="D52" s="143"/>
      <c r="E52" s="143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142" t="s">
        <v>64</v>
      </c>
      <c r="B81" s="143"/>
      <c r="C81" s="143"/>
      <c r="D81" s="143"/>
      <c r="E81" s="143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142" t="s">
        <v>210</v>
      </c>
      <c r="B43" s="143"/>
      <c r="C43" s="143"/>
      <c r="D43" s="143"/>
      <c r="E43" s="143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142" t="s">
        <v>210</v>
      </c>
      <c r="B37" s="143"/>
      <c r="C37" s="143"/>
      <c r="D37" s="143"/>
      <c r="E37" s="143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142" t="s">
        <v>210</v>
      </c>
      <c r="B39" s="143"/>
      <c r="C39" s="143"/>
      <c r="D39" s="143"/>
      <c r="E39" s="143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142" t="s">
        <v>210</v>
      </c>
      <c r="B32" s="143"/>
      <c r="C32" s="143"/>
      <c r="D32" s="143"/>
      <c r="E32" s="143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2018-06-19T09:23:48Z</dcterms:modified>
</cp:coreProperties>
</file>